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81C996E0-E405-41F6-A808-16FE813B3600}" xr6:coauthVersionLast="47" xr6:coauthVersionMax="47" xr10:uidLastSave="{00000000-0000-0000-0000-000000000000}"/>
  <bookViews>
    <workbookView xWindow="-108" yWindow="-108" windowWidth="23256" windowHeight="12456" tabRatio="793" xr2:uid="{00000000-000D-0000-FFFF-FFFF00000000}"/>
  </bookViews>
  <sheets>
    <sheet name="About" sheetId="8" r:id="rId1"/>
    <sheet name="Instructions" sheetId="7" r:id="rId2"/>
    <sheet name="BondCalculator" sheetId="3" r:id="rId3"/>
    <sheet name="BondRepayment" sheetId="9" r:id="rId4"/>
    <sheet name="NetDisposable" sheetId="4" r:id="rId5"/>
    <sheet name="AnnualAmort" sheetId="6" r:id="rId6"/>
    <sheet name="MonthAmort" sheetId="5" r:id="rId7"/>
  </sheets>
  <definedNames>
    <definedName name="_xlnm.Print_Area" localSheetId="5">AnnualAmort!$A$1:$G$33</definedName>
    <definedName name="_xlnm.Print_Titles" localSheetId="5">AnnualAmort!$1:$3</definedName>
    <definedName name="_xlnm.Print_Titles" localSheetId="1">Instructions!$1:$4</definedName>
    <definedName name="_xlnm.Print_Titles" localSheetId="6">MonthAmort!$1:$3</definedName>
    <definedName name="_xlnm.Print_Titles" localSheetId="4">NetDisposable!$1:$1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3" l="1"/>
  <c r="A28" i="3" l="1"/>
  <c r="B12" i="3" l="1"/>
  <c r="D4" i="5" s="1"/>
  <c r="C4" i="5"/>
  <c r="E4" i="5" s="1"/>
  <c r="J4" i="5"/>
  <c r="L4" i="5" s="1"/>
  <c r="B4" i="6"/>
  <c r="C8" i="4"/>
  <c r="A10" i="9"/>
  <c r="A11" i="9" s="1"/>
  <c r="A12" i="9" s="1"/>
  <c r="C17" i="4"/>
  <c r="C25" i="4"/>
  <c r="C32" i="4" s="1"/>
  <c r="F27" i="4"/>
  <c r="C33" i="4" s="1"/>
  <c r="I11" i="4"/>
  <c r="C34" i="4" s="1"/>
  <c r="B29" i="3"/>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B18" i="3" l="1"/>
  <c r="B21" i="3"/>
  <c r="B23" i="3" s="1"/>
  <c r="B24" i="3" s="1"/>
  <c r="K4" i="5"/>
  <c r="B14" i="3"/>
  <c r="B13" i="3" s="1"/>
  <c r="C18" i="4"/>
  <c r="C31" i="4" s="1"/>
  <c r="C35" i="4" s="1"/>
  <c r="B16" i="3" s="1"/>
  <c r="B17" i="3" s="1"/>
  <c r="P4" i="5"/>
  <c r="S4" i="5" s="1"/>
  <c r="M4" i="5"/>
  <c r="N4" i="5" s="1"/>
  <c r="K5" i="5" s="1"/>
  <c r="D10" i="9"/>
  <c r="D11" i="9"/>
  <c r="B28" i="3"/>
  <c r="B30" i="3" s="1"/>
  <c r="A9" i="9"/>
  <c r="B9" i="9" s="1"/>
  <c r="C4" i="6"/>
  <c r="C10" i="9"/>
  <c r="B10" i="9"/>
  <c r="D12" i="9"/>
  <c r="C12" i="9"/>
  <c r="B12" i="9"/>
  <c r="A13" i="9"/>
  <c r="A8" i="9"/>
  <c r="B11" i="9"/>
  <c r="C11" i="9"/>
  <c r="F4" i="5"/>
  <c r="G4" i="5" s="1"/>
  <c r="J5" i="5" l="1"/>
  <c r="L5" i="5" s="1"/>
  <c r="M5" i="5" s="1"/>
  <c r="N5" i="5" s="1"/>
  <c r="B19" i="3"/>
  <c r="C9" i="9"/>
  <c r="D9" i="9"/>
  <c r="C5" i="5"/>
  <c r="D5" i="5"/>
  <c r="H4" i="5"/>
  <c r="B8" i="9"/>
  <c r="D8" i="9"/>
  <c r="C8" i="9"/>
  <c r="A7" i="9"/>
  <c r="A14" i="9"/>
  <c r="D13" i="9"/>
  <c r="C13" i="9"/>
  <c r="B13" i="9"/>
  <c r="J6" i="5" l="1"/>
  <c r="L6" i="5" s="1"/>
  <c r="K6" i="5"/>
  <c r="E5" i="5"/>
  <c r="F5" i="5" s="1"/>
  <c r="G5" i="5" s="1"/>
  <c r="D14" i="9"/>
  <c r="A15" i="9"/>
  <c r="B14" i="9"/>
  <c r="C14" i="9"/>
  <c r="A6" i="9"/>
  <c r="D7" i="9"/>
  <c r="C7" i="9"/>
  <c r="B7" i="9"/>
  <c r="M6" i="5" l="1"/>
  <c r="N6" i="5" s="1"/>
  <c r="K7" i="5" s="1"/>
  <c r="C6" i="5"/>
  <c r="D6" i="5"/>
  <c r="H5" i="5"/>
  <c r="D6" i="9"/>
  <c r="C6" i="9"/>
  <c r="B6" i="9"/>
  <c r="A5" i="9"/>
  <c r="B15" i="9"/>
  <c r="C15" i="9"/>
  <c r="A16" i="9"/>
  <c r="D15" i="9"/>
  <c r="P5" i="5"/>
  <c r="S5" i="5" s="1"/>
  <c r="J7" i="5" l="1"/>
  <c r="A4" i="9"/>
  <c r="D5" i="9"/>
  <c r="C5" i="9"/>
  <c r="B5" i="9"/>
  <c r="L7" i="5"/>
  <c r="B16" i="9"/>
  <c r="D16" i="9"/>
  <c r="C16" i="9"/>
  <c r="E6" i="5"/>
  <c r="F6" i="5" s="1"/>
  <c r="G6" i="5" l="1"/>
  <c r="P6" i="5"/>
  <c r="S6" i="5" s="1"/>
  <c r="M7" i="5"/>
  <c r="N7" i="5" s="1"/>
  <c r="B4" i="9"/>
  <c r="D4" i="9"/>
  <c r="C4" i="9"/>
  <c r="D7" i="5" l="1"/>
  <c r="C7" i="5"/>
  <c r="H6" i="5"/>
  <c r="K8" i="5"/>
  <c r="J8" i="5"/>
  <c r="E7" i="5" l="1"/>
  <c r="L8" i="5"/>
  <c r="P7" i="5" l="1"/>
  <c r="S7" i="5" s="1"/>
  <c r="F7" i="5"/>
  <c r="G7" i="5" s="1"/>
  <c r="M8" i="5"/>
  <c r="N8" i="5" s="1"/>
  <c r="K9" i="5" l="1"/>
  <c r="J9" i="5"/>
  <c r="D8" i="5"/>
  <c r="C8" i="5"/>
  <c r="H7" i="5"/>
  <c r="L9" i="5" l="1"/>
  <c r="E8" i="5"/>
  <c r="P8" i="5" l="1"/>
  <c r="S8" i="5" s="1"/>
  <c r="M9" i="5"/>
  <c r="N9" i="5" s="1"/>
  <c r="F8" i="5"/>
  <c r="G8" i="5" s="1"/>
  <c r="K10" i="5" l="1"/>
  <c r="J10" i="5"/>
  <c r="D9" i="5"/>
  <c r="C9" i="5"/>
  <c r="H8" i="5"/>
  <c r="E9" i="5" l="1"/>
  <c r="F9" i="5" s="1"/>
  <c r="G9" i="5" s="1"/>
  <c r="L10" i="5"/>
  <c r="M10" i="5" s="1"/>
  <c r="N10" i="5" s="1"/>
  <c r="J11" i="5" l="1"/>
  <c r="K11" i="5"/>
  <c r="C10" i="5"/>
  <c r="D10" i="5"/>
  <c r="H9" i="5"/>
  <c r="P9" i="5"/>
  <c r="S9" i="5" s="1"/>
  <c r="E10" i="5" l="1"/>
  <c r="P10" i="5" s="1"/>
  <c r="S10" i="5" s="1"/>
  <c r="L11" i="5"/>
  <c r="M11" i="5" s="1"/>
  <c r="N11" i="5" s="1"/>
  <c r="K12" i="5" l="1"/>
  <c r="J12" i="5"/>
  <c r="F10" i="5"/>
  <c r="G10" i="5" s="1"/>
  <c r="L12" i="5" l="1"/>
  <c r="M12" i="5" s="1"/>
  <c r="N12" i="5" s="1"/>
  <c r="D11" i="5"/>
  <c r="C11" i="5"/>
  <c r="H10" i="5"/>
  <c r="K13" i="5" l="1"/>
  <c r="J13" i="5"/>
  <c r="E11" i="5"/>
  <c r="P11" i="5" s="1"/>
  <c r="S11" i="5" s="1"/>
  <c r="F11" i="5" l="1"/>
  <c r="G11" i="5" s="1"/>
  <c r="L13" i="5"/>
  <c r="M13" i="5" s="1"/>
  <c r="N13" i="5" s="1"/>
  <c r="K14" i="5" l="1"/>
  <c r="J14" i="5"/>
  <c r="D12" i="5"/>
  <c r="C12" i="5"/>
  <c r="H11" i="5"/>
  <c r="L14" i="5" l="1"/>
  <c r="M14" i="5" s="1"/>
  <c r="N14" i="5" s="1"/>
  <c r="E12" i="5"/>
  <c r="P12" i="5" s="1"/>
  <c r="S12" i="5" s="1"/>
  <c r="J15" i="5" l="1"/>
  <c r="K15" i="5"/>
  <c r="F12" i="5"/>
  <c r="G12" i="5" s="1"/>
  <c r="L15" i="5" l="1"/>
  <c r="J4" i="6" s="1"/>
  <c r="C13" i="5"/>
  <c r="D13" i="5"/>
  <c r="H12" i="5"/>
  <c r="E13" i="5" l="1"/>
  <c r="P13" i="5" s="1"/>
  <c r="S13" i="5" s="1"/>
  <c r="M15" i="5"/>
  <c r="N15" i="5" s="1"/>
  <c r="K16" i="5" l="1"/>
  <c r="J16" i="5"/>
  <c r="F13" i="5"/>
  <c r="G13" i="5" s="1"/>
  <c r="C14" i="5" l="1"/>
  <c r="D14" i="5"/>
  <c r="H13" i="5"/>
  <c r="L16" i="5"/>
  <c r="M16" i="5" s="1"/>
  <c r="N16" i="5" s="1"/>
  <c r="K17" i="5" l="1"/>
  <c r="J17" i="5"/>
  <c r="E14" i="5"/>
  <c r="P14" i="5" s="1"/>
  <c r="S14" i="5" s="1"/>
  <c r="L17" i="5" l="1"/>
  <c r="M17" i="5" s="1"/>
  <c r="N17" i="5" s="1"/>
  <c r="F14" i="5"/>
  <c r="G14" i="5" s="1"/>
  <c r="K18" i="5" l="1"/>
  <c r="J18" i="5"/>
  <c r="D15" i="5"/>
  <c r="C15" i="5"/>
  <c r="H14" i="5"/>
  <c r="L18" i="5" l="1"/>
  <c r="M18" i="5" s="1"/>
  <c r="N18" i="5" s="1"/>
  <c r="E15" i="5"/>
  <c r="J19" i="5" l="1"/>
  <c r="K19" i="5"/>
  <c r="P15" i="5"/>
  <c r="S15" i="5" s="1"/>
  <c r="D4" i="6"/>
  <c r="F15" i="5"/>
  <c r="I4" i="6" l="1"/>
  <c r="E4" i="6"/>
  <c r="G15" i="5"/>
  <c r="L19" i="5"/>
  <c r="M19" i="5" s="1"/>
  <c r="N19" i="5" s="1"/>
  <c r="K20" i="5" l="1"/>
  <c r="J20" i="5"/>
  <c r="D16" i="5"/>
  <c r="C16" i="5"/>
  <c r="H15" i="5"/>
  <c r="F4" i="6"/>
  <c r="K4" i="6"/>
  <c r="L20" i="5" l="1"/>
  <c r="M20" i="5" s="1"/>
  <c r="N20" i="5" s="1"/>
  <c r="E16" i="5"/>
  <c r="F16" i="5" s="1"/>
  <c r="G4" i="6"/>
  <c r="B5" i="6"/>
  <c r="K21" i="5" l="1"/>
  <c r="J21" i="5"/>
  <c r="P16" i="5"/>
  <c r="S16" i="5" s="1"/>
  <c r="C5" i="6"/>
  <c r="G16" i="5"/>
  <c r="L21" i="5" l="1"/>
  <c r="M21" i="5" s="1"/>
  <c r="N21" i="5" s="1"/>
  <c r="D17" i="5"/>
  <c r="C17" i="5"/>
  <c r="H16" i="5"/>
  <c r="K22" i="5" l="1"/>
  <c r="J22" i="5"/>
  <c r="E17" i="5"/>
  <c r="F17" i="5" s="1"/>
  <c r="L22" i="5" l="1"/>
  <c r="M22" i="5" s="1"/>
  <c r="N22" i="5" s="1"/>
  <c r="G17" i="5"/>
  <c r="P17" i="5"/>
  <c r="S17" i="5" s="1"/>
  <c r="J23" i="5" l="1"/>
  <c r="K23" i="5"/>
  <c r="C18" i="5"/>
  <c r="D18" i="5"/>
  <c r="H17" i="5"/>
  <c r="L23" i="5" l="1"/>
  <c r="E18" i="5"/>
  <c r="P18" i="5" l="1"/>
  <c r="S18" i="5" s="1"/>
  <c r="M23" i="5"/>
  <c r="N23" i="5" s="1"/>
  <c r="F18" i="5"/>
  <c r="G18" i="5" l="1"/>
  <c r="K24" i="5"/>
  <c r="J24" i="5"/>
  <c r="D19" i="5" l="1"/>
  <c r="C19" i="5"/>
  <c r="H18" i="5"/>
  <c r="L24" i="5"/>
  <c r="M24" i="5" s="1"/>
  <c r="N24" i="5" s="1"/>
  <c r="K25" i="5" l="1"/>
  <c r="J25" i="5"/>
  <c r="E19" i="5"/>
  <c r="F19" i="5" s="1"/>
  <c r="G19" i="5" s="1"/>
  <c r="D20" i="5" l="1"/>
  <c r="C20" i="5"/>
  <c r="H19" i="5"/>
  <c r="L25" i="5"/>
  <c r="M25" i="5" s="1"/>
  <c r="N25" i="5" s="1"/>
  <c r="P19" i="5"/>
  <c r="S19" i="5" s="1"/>
  <c r="K26" i="5" l="1"/>
  <c r="J26" i="5"/>
  <c r="E20" i="5"/>
  <c r="F20" i="5" s="1"/>
  <c r="G20" i="5" s="1"/>
  <c r="C21" i="5" l="1"/>
  <c r="D21" i="5"/>
  <c r="H20" i="5"/>
  <c r="L26" i="5"/>
  <c r="M26" i="5" s="1"/>
  <c r="N26" i="5" s="1"/>
  <c r="P20" i="5"/>
  <c r="S20" i="5" s="1"/>
  <c r="J27" i="5" l="1"/>
  <c r="K27" i="5"/>
  <c r="E21" i="5"/>
  <c r="P21" i="5" s="1"/>
  <c r="S21" i="5" s="1"/>
  <c r="L27" i="5" l="1"/>
  <c r="J5" i="6" s="1"/>
  <c r="F21" i="5"/>
  <c r="G21" i="5" s="1"/>
  <c r="M27" i="5" l="1"/>
  <c r="N27" i="5" s="1"/>
  <c r="C22" i="5"/>
  <c r="D22" i="5"/>
  <c r="H21" i="5"/>
  <c r="E22" i="5" l="1"/>
  <c r="P22" i="5" s="1"/>
  <c r="S22" i="5" s="1"/>
  <c r="K28" i="5"/>
  <c r="J28" i="5"/>
  <c r="F22" i="5" l="1"/>
  <c r="G22" i="5" s="1"/>
  <c r="D23" i="5" s="1"/>
  <c r="L28" i="5"/>
  <c r="M28" i="5" s="1"/>
  <c r="N28" i="5" s="1"/>
  <c r="H22" i="5" l="1"/>
  <c r="C23" i="5"/>
  <c r="E23" i="5" s="1"/>
  <c r="P23" i="5" s="1"/>
  <c r="S23" i="5" s="1"/>
  <c r="K29" i="5"/>
  <c r="J29" i="5"/>
  <c r="F23" i="5" l="1"/>
  <c r="G23" i="5" s="1"/>
  <c r="C24" i="5" s="1"/>
  <c r="L29" i="5"/>
  <c r="M29" i="5" s="1"/>
  <c r="N29" i="5" s="1"/>
  <c r="H23" i="5" l="1"/>
  <c r="D24" i="5"/>
  <c r="K30" i="5"/>
  <c r="J30" i="5"/>
  <c r="E24" i="5"/>
  <c r="P24" i="5" s="1"/>
  <c r="S24" i="5" s="1"/>
  <c r="L30" i="5" l="1"/>
  <c r="M30" i="5" s="1"/>
  <c r="N30" i="5" s="1"/>
  <c r="F24" i="5"/>
  <c r="G24" i="5" s="1"/>
  <c r="J31" i="5" l="1"/>
  <c r="K31" i="5"/>
  <c r="D25" i="5"/>
  <c r="C25" i="5"/>
  <c r="H24" i="5"/>
  <c r="E25" i="5" l="1"/>
  <c r="P25" i="5" s="1"/>
  <c r="S25" i="5" s="1"/>
  <c r="L31" i="5"/>
  <c r="M31" i="5" s="1"/>
  <c r="N31" i="5" s="1"/>
  <c r="F25" i="5" l="1"/>
  <c r="G25" i="5" s="1"/>
  <c r="H25" i="5" s="1"/>
  <c r="K32" i="5"/>
  <c r="J32" i="5"/>
  <c r="D26" i="5" l="1"/>
  <c r="C26" i="5"/>
  <c r="E26" i="5" s="1"/>
  <c r="P26" i="5" s="1"/>
  <c r="S26" i="5" s="1"/>
  <c r="L32" i="5"/>
  <c r="M32" i="5" s="1"/>
  <c r="N32" i="5" s="1"/>
  <c r="K33" i="5" l="1"/>
  <c r="J33" i="5"/>
  <c r="F26" i="5"/>
  <c r="G26" i="5" s="1"/>
  <c r="D27" i="5" l="1"/>
  <c r="C27" i="5"/>
  <c r="H26" i="5"/>
  <c r="L33" i="5"/>
  <c r="M33" i="5" s="1"/>
  <c r="N33" i="5" s="1"/>
  <c r="J34" i="5" l="1"/>
  <c r="K34" i="5"/>
  <c r="E27" i="5"/>
  <c r="P27" i="5" l="1"/>
  <c r="S27" i="5" s="1"/>
  <c r="D5" i="6"/>
  <c r="F27" i="5"/>
  <c r="L34" i="5"/>
  <c r="M34" i="5" s="1"/>
  <c r="N34" i="5" s="1"/>
  <c r="J35" i="5" l="1"/>
  <c r="K35" i="5"/>
  <c r="E5" i="6"/>
  <c r="G27" i="5"/>
  <c r="I5" i="6"/>
  <c r="D28" i="5" l="1"/>
  <c r="C28" i="5"/>
  <c r="H27" i="5"/>
  <c r="K5" i="6"/>
  <c r="F5" i="6"/>
  <c r="L35" i="5"/>
  <c r="M35" i="5" l="1"/>
  <c r="N35" i="5" s="1"/>
  <c r="E28" i="5"/>
  <c r="B6" i="6"/>
  <c r="G5" i="6"/>
  <c r="P28" i="5" l="1"/>
  <c r="S28" i="5" s="1"/>
  <c r="F28" i="5"/>
  <c r="K36" i="5"/>
  <c r="J36" i="5"/>
  <c r="C6" i="6"/>
  <c r="G28" i="5" l="1"/>
  <c r="L36" i="5"/>
  <c r="C29" i="5" l="1"/>
  <c r="D29" i="5"/>
  <c r="H28" i="5"/>
  <c r="M36" i="5"/>
  <c r="N36" i="5" s="1"/>
  <c r="K37" i="5" l="1"/>
  <c r="J37" i="5"/>
  <c r="E29" i="5"/>
  <c r="F29" i="5" s="1"/>
  <c r="G29" i="5" s="1"/>
  <c r="C30" i="5" l="1"/>
  <c r="D30" i="5"/>
  <c r="H29" i="5"/>
  <c r="P29" i="5"/>
  <c r="S29" i="5" s="1"/>
  <c r="L37" i="5"/>
  <c r="M37" i="5" s="1"/>
  <c r="N37" i="5" s="1"/>
  <c r="K38" i="5" l="1"/>
  <c r="J38" i="5"/>
  <c r="E30" i="5"/>
  <c r="F30" i="5" s="1"/>
  <c r="L38" i="5" l="1"/>
  <c r="M38" i="5" s="1"/>
  <c r="N38" i="5" s="1"/>
  <c r="G30" i="5"/>
  <c r="P30" i="5"/>
  <c r="S30" i="5" s="1"/>
  <c r="J39" i="5" l="1"/>
  <c r="K39" i="5"/>
  <c r="D31" i="5"/>
  <c r="C31" i="5"/>
  <c r="H30" i="5"/>
  <c r="L39" i="5" l="1"/>
  <c r="J6" i="6" s="1"/>
  <c r="E31" i="5"/>
  <c r="F31" i="5" s="1"/>
  <c r="G31" i="5" s="1"/>
  <c r="D32" i="5" l="1"/>
  <c r="C32" i="5"/>
  <c r="H31" i="5"/>
  <c r="P31" i="5"/>
  <c r="S31" i="5" s="1"/>
  <c r="M39" i="5"/>
  <c r="N39" i="5" s="1"/>
  <c r="K40" i="5" l="1"/>
  <c r="J40" i="5"/>
  <c r="E32" i="5"/>
  <c r="P32" i="5" l="1"/>
  <c r="S32" i="5" s="1"/>
  <c r="L40" i="5"/>
  <c r="M40" i="5" s="1"/>
  <c r="N40" i="5" s="1"/>
  <c r="F32" i="5"/>
  <c r="G32" i="5" s="1"/>
  <c r="K41" i="5" l="1"/>
  <c r="J41" i="5"/>
  <c r="D33" i="5"/>
  <c r="C33" i="5"/>
  <c r="H32" i="5"/>
  <c r="E33" i="5" l="1"/>
  <c r="P33" i="5" s="1"/>
  <c r="S33" i="5" s="1"/>
  <c r="L41" i="5"/>
  <c r="M41" i="5" s="1"/>
  <c r="N41" i="5" s="1"/>
  <c r="F33" i="5" l="1"/>
  <c r="G33" i="5" s="1"/>
  <c r="C34" i="5" s="1"/>
  <c r="K42" i="5"/>
  <c r="J42" i="5"/>
  <c r="H33" i="5" l="1"/>
  <c r="D34" i="5"/>
  <c r="L42" i="5"/>
  <c r="M42" i="5" s="1"/>
  <c r="N42" i="5" s="1"/>
  <c r="E34" i="5"/>
  <c r="P34" i="5" s="1"/>
  <c r="S34" i="5" s="1"/>
  <c r="F34" i="5" l="1"/>
  <c r="G34" i="5" s="1"/>
  <c r="H34" i="5" s="1"/>
  <c r="J43" i="5"/>
  <c r="K43" i="5"/>
  <c r="C35" i="5" l="1"/>
  <c r="E35" i="5" s="1"/>
  <c r="P35" i="5" s="1"/>
  <c r="S35" i="5" s="1"/>
  <c r="D35" i="5"/>
  <c r="L43" i="5"/>
  <c r="M43" i="5" s="1"/>
  <c r="N43" i="5" s="1"/>
  <c r="F35" i="5" l="1"/>
  <c r="G35" i="5" s="1"/>
  <c r="H35" i="5" s="1"/>
  <c r="K44" i="5"/>
  <c r="J44" i="5"/>
  <c r="C36" i="5" l="1"/>
  <c r="D36" i="5"/>
  <c r="E36" i="5"/>
  <c r="P36" i="5" s="1"/>
  <c r="S36" i="5" s="1"/>
  <c r="L44" i="5"/>
  <c r="M44" i="5" s="1"/>
  <c r="N44" i="5" s="1"/>
  <c r="F36" i="5" l="1"/>
  <c r="G36" i="5" s="1"/>
  <c r="C37" i="5" s="1"/>
  <c r="K45" i="5"/>
  <c r="J45" i="5"/>
  <c r="H36" i="5" l="1"/>
  <c r="D37" i="5"/>
  <c r="L45" i="5"/>
  <c r="E37" i="5"/>
  <c r="P37" i="5" s="1"/>
  <c r="S37" i="5" s="1"/>
  <c r="F37" i="5" l="1"/>
  <c r="G37" i="5" s="1"/>
  <c r="M45" i="5"/>
  <c r="N45" i="5" s="1"/>
  <c r="K46" i="5" l="1"/>
  <c r="J46" i="5"/>
  <c r="C38" i="5"/>
  <c r="D38" i="5"/>
  <c r="H37" i="5"/>
  <c r="E38" i="5" l="1"/>
  <c r="P38" i="5" s="1"/>
  <c r="S38" i="5" s="1"/>
  <c r="L46" i="5"/>
  <c r="M46" i="5" l="1"/>
  <c r="N46" i="5" s="1"/>
  <c r="F38" i="5"/>
  <c r="G38" i="5" s="1"/>
  <c r="D39" i="5" l="1"/>
  <c r="C39" i="5"/>
  <c r="H38" i="5"/>
  <c r="J47" i="5"/>
  <c r="K47" i="5"/>
  <c r="L47" i="5" l="1"/>
  <c r="M47" i="5" s="1"/>
  <c r="N47" i="5" s="1"/>
  <c r="E39" i="5"/>
  <c r="K48" i="5" l="1"/>
  <c r="J48" i="5"/>
  <c r="P39" i="5"/>
  <c r="S39" i="5" s="1"/>
  <c r="D6" i="6"/>
  <c r="F39" i="5"/>
  <c r="I6" i="6" l="1"/>
  <c r="L48" i="5"/>
  <c r="M48" i="5" s="1"/>
  <c r="N48" i="5" s="1"/>
  <c r="E6" i="6"/>
  <c r="G39" i="5"/>
  <c r="K49" i="5" l="1"/>
  <c r="J49" i="5"/>
  <c r="D40" i="5"/>
  <c r="C40" i="5"/>
  <c r="H39" i="5"/>
  <c r="K6" i="6"/>
  <c r="F6" i="6"/>
  <c r="B7" i="6" l="1"/>
  <c r="G6" i="6"/>
  <c r="L49" i="5"/>
  <c r="M49" i="5" s="1"/>
  <c r="N49" i="5" s="1"/>
  <c r="E40" i="5"/>
  <c r="F40" i="5" s="1"/>
  <c r="G40" i="5" s="1"/>
  <c r="J50" i="5" l="1"/>
  <c r="K50" i="5"/>
  <c r="P40" i="5"/>
  <c r="S40" i="5" s="1"/>
  <c r="D41" i="5"/>
  <c r="C41" i="5"/>
  <c r="H40" i="5"/>
  <c r="C7" i="6"/>
  <c r="E41" i="5" l="1"/>
  <c r="F41" i="5" s="1"/>
  <c r="G41" i="5" s="1"/>
  <c r="L50" i="5"/>
  <c r="M50" i="5" s="1"/>
  <c r="N50" i="5" s="1"/>
  <c r="J51" i="5" l="1"/>
  <c r="K51" i="5"/>
  <c r="C42" i="5"/>
  <c r="D42" i="5"/>
  <c r="H41" i="5"/>
  <c r="P41" i="5"/>
  <c r="S41" i="5" s="1"/>
  <c r="E42" i="5" l="1"/>
  <c r="L51" i="5"/>
  <c r="J7" i="6" s="1"/>
  <c r="P42" i="5" l="1"/>
  <c r="S42" i="5" s="1"/>
  <c r="M51" i="5"/>
  <c r="N51" i="5" s="1"/>
  <c r="F42" i="5"/>
  <c r="K52" i="5" l="1"/>
  <c r="J52" i="5"/>
  <c r="G42" i="5"/>
  <c r="D43" i="5" l="1"/>
  <c r="C43" i="5"/>
  <c r="H42" i="5"/>
  <c r="L52" i="5"/>
  <c r="M52" i="5" s="1"/>
  <c r="N52" i="5" s="1"/>
  <c r="K53" i="5" l="1"/>
  <c r="J53" i="5"/>
  <c r="E43" i="5"/>
  <c r="P43" i="5" l="1"/>
  <c r="S43" i="5" s="1"/>
  <c r="F43" i="5"/>
  <c r="G43" i="5" s="1"/>
  <c r="L53" i="5"/>
  <c r="M53" i="5" s="1"/>
  <c r="N53" i="5" s="1"/>
  <c r="K54" i="5" l="1"/>
  <c r="J54" i="5"/>
  <c r="D44" i="5"/>
  <c r="C44" i="5"/>
  <c r="H43" i="5"/>
  <c r="E44" i="5" l="1"/>
  <c r="L54" i="5"/>
  <c r="M54" i="5" s="1"/>
  <c r="N54" i="5" s="1"/>
  <c r="J55" i="5" l="1"/>
  <c r="K55" i="5"/>
  <c r="P44" i="5"/>
  <c r="S44" i="5" s="1"/>
  <c r="F44" i="5"/>
  <c r="G44" i="5" s="1"/>
  <c r="C45" i="5" l="1"/>
  <c r="D45" i="5"/>
  <c r="H44" i="5"/>
  <c r="L55" i="5"/>
  <c r="E45" i="5" l="1"/>
  <c r="P45" i="5" s="1"/>
  <c r="S45" i="5" s="1"/>
  <c r="M55" i="5"/>
  <c r="N55" i="5" s="1"/>
  <c r="K56" i="5" l="1"/>
  <c r="J56" i="5"/>
  <c r="F45" i="5"/>
  <c r="G45" i="5" s="1"/>
  <c r="C46" i="5" l="1"/>
  <c r="D46" i="5"/>
  <c r="H45" i="5"/>
  <c r="L56" i="5"/>
  <c r="M56" i="5" l="1"/>
  <c r="N56" i="5" s="1"/>
  <c r="E46" i="5"/>
  <c r="P46" i="5" s="1"/>
  <c r="S46" i="5" s="1"/>
  <c r="K57" i="5" l="1"/>
  <c r="J57" i="5"/>
  <c r="F46" i="5"/>
  <c r="G46" i="5" s="1"/>
  <c r="D47" i="5" l="1"/>
  <c r="C47" i="5"/>
  <c r="H46" i="5"/>
  <c r="L57" i="5"/>
  <c r="M57" i="5" l="1"/>
  <c r="N57" i="5" s="1"/>
  <c r="E47" i="5"/>
  <c r="P47" i="5" s="1"/>
  <c r="S47" i="5" s="1"/>
  <c r="F47" i="5" l="1"/>
  <c r="G47" i="5" s="1"/>
  <c r="D48" i="5" s="1"/>
  <c r="K58" i="5"/>
  <c r="J58" i="5"/>
  <c r="H47" i="5" l="1"/>
  <c r="C48" i="5"/>
  <c r="E48" i="5" s="1"/>
  <c r="L58" i="5"/>
  <c r="M58" i="5" s="1"/>
  <c r="N58" i="5" s="1"/>
  <c r="P48" i="5" l="1"/>
  <c r="S48" i="5" s="1"/>
  <c r="F48" i="5"/>
  <c r="G48" i="5" s="1"/>
  <c r="H48" i="5" s="1"/>
  <c r="J59" i="5"/>
  <c r="K59" i="5"/>
  <c r="C49" i="5" l="1"/>
  <c r="E49" i="5" s="1"/>
  <c r="P49" i="5" s="1"/>
  <c r="S49" i="5" s="1"/>
  <c r="D49" i="5"/>
  <c r="L59" i="5"/>
  <c r="M59" i="5" s="1"/>
  <c r="N59" i="5" s="1"/>
  <c r="F49" i="5" l="1"/>
  <c r="G49" i="5" s="1"/>
  <c r="C50" i="5" s="1"/>
  <c r="K60" i="5"/>
  <c r="J60" i="5"/>
  <c r="H49" i="5" l="1"/>
  <c r="D50" i="5"/>
  <c r="L60" i="5"/>
  <c r="M60" i="5" s="1"/>
  <c r="N60" i="5" s="1"/>
  <c r="E50" i="5"/>
  <c r="P50" i="5" s="1"/>
  <c r="S50" i="5" s="1"/>
  <c r="F50" i="5" l="1"/>
  <c r="G50" i="5" s="1"/>
  <c r="H50" i="5" s="1"/>
  <c r="K61" i="5"/>
  <c r="J61" i="5"/>
  <c r="C51" i="5" l="1"/>
  <c r="E51" i="5" s="1"/>
  <c r="D51" i="5"/>
  <c r="L61" i="5"/>
  <c r="M61" i="5" s="1"/>
  <c r="N61" i="5" s="1"/>
  <c r="F51" i="5" l="1"/>
  <c r="E7" i="6" s="1"/>
  <c r="K7" i="6" s="1"/>
  <c r="K62" i="5"/>
  <c r="J62" i="5"/>
  <c r="P51" i="5"/>
  <c r="S51" i="5" s="1"/>
  <c r="D7" i="6"/>
  <c r="G51" i="5" l="1"/>
  <c r="D52" i="5" s="1"/>
  <c r="F7" i="6"/>
  <c r="G7" i="6" s="1"/>
  <c r="I7" i="6"/>
  <c r="L62" i="5"/>
  <c r="M62" i="5" s="1"/>
  <c r="N62" i="5" s="1"/>
  <c r="C52" i="5"/>
  <c r="H51" i="5"/>
  <c r="B8" i="6" l="1"/>
  <c r="C8" i="6" s="1"/>
  <c r="J63" i="5"/>
  <c r="K63" i="5"/>
  <c r="E52" i="5"/>
  <c r="F52" i="5" s="1"/>
  <c r="G52" i="5" s="1"/>
  <c r="C53" i="5" l="1"/>
  <c r="D53" i="5"/>
  <c r="H52" i="5"/>
  <c r="P52" i="5"/>
  <c r="S52" i="5" s="1"/>
  <c r="L63" i="5"/>
  <c r="J8" i="6" s="1"/>
  <c r="M63" i="5" l="1"/>
  <c r="N63" i="5" s="1"/>
  <c r="E53" i="5"/>
  <c r="F53" i="5" s="1"/>
  <c r="G53" i="5" l="1"/>
  <c r="K64" i="5"/>
  <c r="J64" i="5"/>
  <c r="P53" i="5"/>
  <c r="S53" i="5" s="1"/>
  <c r="L64" i="5" l="1"/>
  <c r="M64" i="5" s="1"/>
  <c r="N64" i="5" s="1"/>
  <c r="C54" i="5"/>
  <c r="D54" i="5"/>
  <c r="H53" i="5"/>
  <c r="K65" i="5" l="1"/>
  <c r="J65" i="5"/>
  <c r="E54" i="5"/>
  <c r="P54" i="5" l="1"/>
  <c r="S54" i="5" s="1"/>
  <c r="L65" i="5"/>
  <c r="F54" i="5"/>
  <c r="M65" i="5" l="1"/>
  <c r="N65" i="5" s="1"/>
  <c r="G54" i="5"/>
  <c r="K66" i="5" l="1"/>
  <c r="J66" i="5"/>
  <c r="D55" i="5"/>
  <c r="C55" i="5"/>
  <c r="H54" i="5"/>
  <c r="L66" i="5" l="1"/>
  <c r="M66" i="5" s="1"/>
  <c r="N66" i="5" s="1"/>
  <c r="E55" i="5"/>
  <c r="J67" i="5" l="1"/>
  <c r="K67" i="5"/>
  <c r="P55" i="5"/>
  <c r="S55" i="5" s="1"/>
  <c r="F55" i="5"/>
  <c r="G55" i="5" l="1"/>
  <c r="L67" i="5"/>
  <c r="D56" i="5" l="1"/>
  <c r="C56" i="5"/>
  <c r="H55" i="5"/>
  <c r="M67" i="5"/>
  <c r="N67" i="5" s="1"/>
  <c r="E56" i="5" l="1"/>
  <c r="K68" i="5"/>
  <c r="J68" i="5"/>
  <c r="P56" i="5" l="1"/>
  <c r="S56" i="5" s="1"/>
  <c r="L68" i="5"/>
  <c r="M68" i="5" s="1"/>
  <c r="N68" i="5" s="1"/>
  <c r="F56" i="5"/>
  <c r="G56" i="5" s="1"/>
  <c r="K69" i="5" l="1"/>
  <c r="J69" i="5"/>
  <c r="D57" i="5"/>
  <c r="C57" i="5"/>
  <c r="H56" i="5"/>
  <c r="E57" i="5" l="1"/>
  <c r="P57" i="5" s="1"/>
  <c r="S57" i="5" s="1"/>
  <c r="L69" i="5"/>
  <c r="M69" i="5" s="1"/>
  <c r="N69" i="5" s="1"/>
  <c r="F57" i="5" l="1"/>
  <c r="G57" i="5" s="1"/>
  <c r="C58" i="5" s="1"/>
  <c r="K70" i="5"/>
  <c r="J70" i="5"/>
  <c r="H57" i="5" l="1"/>
  <c r="D58" i="5"/>
  <c r="L70" i="5"/>
  <c r="M70" i="5" s="1"/>
  <c r="N70" i="5" s="1"/>
  <c r="E58" i="5"/>
  <c r="P58" i="5" s="1"/>
  <c r="S58" i="5" s="1"/>
  <c r="J71" i="5" l="1"/>
  <c r="K71" i="5"/>
  <c r="F58" i="5"/>
  <c r="G58" i="5" s="1"/>
  <c r="D59" i="5" l="1"/>
  <c r="C59" i="5"/>
  <c r="H58" i="5"/>
  <c r="L71" i="5"/>
  <c r="M71" i="5" s="1"/>
  <c r="N71" i="5" s="1"/>
  <c r="K72" i="5" l="1"/>
  <c r="J72" i="5"/>
  <c r="E59" i="5"/>
  <c r="P59" i="5" s="1"/>
  <c r="S59" i="5" s="1"/>
  <c r="F59" i="5" l="1"/>
  <c r="G59" i="5" s="1"/>
  <c r="L72" i="5"/>
  <c r="M72" i="5" s="1"/>
  <c r="N72" i="5" s="1"/>
  <c r="K73" i="5" l="1"/>
  <c r="J73" i="5"/>
  <c r="D60" i="5"/>
  <c r="C60" i="5"/>
  <c r="H59" i="5"/>
  <c r="L73" i="5" l="1"/>
  <c r="M73" i="5" s="1"/>
  <c r="N73" i="5" s="1"/>
  <c r="E60" i="5"/>
  <c r="P60" i="5" s="1"/>
  <c r="S60" i="5" s="1"/>
  <c r="K74" i="5" l="1"/>
  <c r="J74" i="5"/>
  <c r="F60" i="5"/>
  <c r="G60" i="5" s="1"/>
  <c r="C61" i="5" l="1"/>
  <c r="D61" i="5"/>
  <c r="H60" i="5"/>
  <c r="L74" i="5"/>
  <c r="M74" i="5" s="1"/>
  <c r="N74" i="5" s="1"/>
  <c r="J75" i="5" l="1"/>
  <c r="K75" i="5"/>
  <c r="E61" i="5"/>
  <c r="P61" i="5" s="1"/>
  <c r="S61" i="5" s="1"/>
  <c r="L75" i="5" l="1"/>
  <c r="J9" i="6" s="1"/>
  <c r="F61" i="5"/>
  <c r="G61" i="5" s="1"/>
  <c r="M75" i="5" l="1"/>
  <c r="N75" i="5" s="1"/>
  <c r="K76" i="5" s="1"/>
  <c r="C62" i="5"/>
  <c r="D62" i="5"/>
  <c r="H61" i="5"/>
  <c r="J76" i="5" l="1"/>
  <c r="L76" i="5" s="1"/>
  <c r="E62" i="5"/>
  <c r="P62" i="5" s="1"/>
  <c r="S62" i="5" s="1"/>
  <c r="M76" i="5" l="1"/>
  <c r="N76" i="5" s="1"/>
  <c r="F62" i="5"/>
  <c r="G62" i="5" s="1"/>
  <c r="D63" i="5" l="1"/>
  <c r="C63" i="5"/>
  <c r="H62" i="5"/>
  <c r="K77" i="5"/>
  <c r="J77" i="5"/>
  <c r="E63" i="5" l="1"/>
  <c r="F63" i="5" s="1"/>
  <c r="L77" i="5"/>
  <c r="E8" i="6" l="1"/>
  <c r="G63" i="5"/>
  <c r="P63" i="5"/>
  <c r="S63" i="5" s="1"/>
  <c r="D8" i="6"/>
  <c r="M77" i="5"/>
  <c r="N77" i="5" s="1"/>
  <c r="I8" i="6" l="1"/>
  <c r="K78" i="5"/>
  <c r="J78" i="5"/>
  <c r="D64" i="5"/>
  <c r="C64" i="5"/>
  <c r="H63" i="5"/>
  <c r="K8" i="6"/>
  <c r="F8" i="6"/>
  <c r="L78" i="5" l="1"/>
  <c r="M78" i="5" s="1"/>
  <c r="N78" i="5" s="1"/>
  <c r="G8" i="6"/>
  <c r="B9" i="6"/>
  <c r="E64" i="5"/>
  <c r="F64" i="5" s="1"/>
  <c r="G64" i="5" l="1"/>
  <c r="J79" i="5"/>
  <c r="K79" i="5"/>
  <c r="C9" i="6"/>
  <c r="P64" i="5"/>
  <c r="S64" i="5" s="1"/>
  <c r="D65" i="5" l="1"/>
  <c r="C65" i="5"/>
  <c r="H64" i="5"/>
  <c r="L79" i="5"/>
  <c r="M79" i="5" s="1"/>
  <c r="N79" i="5" s="1"/>
  <c r="K80" i="5" l="1"/>
  <c r="J80" i="5"/>
  <c r="E65" i="5"/>
  <c r="F65" i="5" s="1"/>
  <c r="G65" i="5" l="1"/>
  <c r="P65" i="5"/>
  <c r="S65" i="5" s="1"/>
  <c r="L80" i="5"/>
  <c r="M80" i="5" s="1"/>
  <c r="N80" i="5" s="1"/>
  <c r="K81" i="5" l="1"/>
  <c r="J81" i="5"/>
  <c r="C66" i="5"/>
  <c r="D66" i="5"/>
  <c r="H65" i="5"/>
  <c r="E66" i="5" l="1"/>
  <c r="F66" i="5" s="1"/>
  <c r="L81" i="5"/>
  <c r="M81" i="5" s="1"/>
  <c r="N81" i="5" s="1"/>
  <c r="G66" i="5" l="1"/>
  <c r="K82" i="5"/>
  <c r="J82" i="5"/>
  <c r="P66" i="5"/>
  <c r="S66" i="5" s="1"/>
  <c r="L82" i="5" l="1"/>
  <c r="M82" i="5" s="1"/>
  <c r="N82" i="5" s="1"/>
  <c r="D67" i="5"/>
  <c r="C67" i="5"/>
  <c r="H66" i="5"/>
  <c r="J83" i="5" l="1"/>
  <c r="K83" i="5"/>
  <c r="E67" i="5"/>
  <c r="L83" i="5" l="1"/>
  <c r="M83" i="5" s="1"/>
  <c r="N83" i="5" s="1"/>
  <c r="P67" i="5"/>
  <c r="S67" i="5" s="1"/>
  <c r="F67" i="5"/>
  <c r="K84" i="5" l="1"/>
  <c r="J84" i="5"/>
  <c r="G67" i="5"/>
  <c r="D68" i="5" l="1"/>
  <c r="C68" i="5"/>
  <c r="H67" i="5"/>
  <c r="L84" i="5"/>
  <c r="M84" i="5" s="1"/>
  <c r="N84" i="5" s="1"/>
  <c r="K85" i="5" l="1"/>
  <c r="J85" i="5"/>
  <c r="E68" i="5"/>
  <c r="F68" i="5" s="1"/>
  <c r="G68" i="5" s="1"/>
  <c r="C69" i="5" l="1"/>
  <c r="D69" i="5"/>
  <c r="H68" i="5"/>
  <c r="P68" i="5"/>
  <c r="S68" i="5" s="1"/>
  <c r="L85" i="5"/>
  <c r="M85" i="5" s="1"/>
  <c r="N85" i="5" s="1"/>
  <c r="K86" i="5" l="1"/>
  <c r="J86" i="5"/>
  <c r="E69" i="5"/>
  <c r="P69" i="5" s="1"/>
  <c r="S69" i="5" s="1"/>
  <c r="F69" i="5" l="1"/>
  <c r="G69" i="5" s="1"/>
  <c r="L86" i="5"/>
  <c r="M86" i="5" s="1"/>
  <c r="N86" i="5" s="1"/>
  <c r="J87" i="5" l="1"/>
  <c r="K87" i="5"/>
  <c r="C70" i="5"/>
  <c r="D70" i="5"/>
  <c r="H69" i="5"/>
  <c r="E70" i="5" l="1"/>
  <c r="P70" i="5" s="1"/>
  <c r="S70" i="5" s="1"/>
  <c r="L87" i="5"/>
  <c r="M87" i="5" s="1"/>
  <c r="N87" i="5" s="1"/>
  <c r="K88" i="5" l="1"/>
  <c r="J88" i="5"/>
  <c r="J10" i="6"/>
  <c r="F70" i="5"/>
  <c r="G70" i="5" s="1"/>
  <c r="L88" i="5" l="1"/>
  <c r="M88" i="5" s="1"/>
  <c r="N88" i="5" s="1"/>
  <c r="D71" i="5"/>
  <c r="C71" i="5"/>
  <c r="H70" i="5"/>
  <c r="K89" i="5" l="1"/>
  <c r="J89" i="5"/>
  <c r="E71" i="5"/>
  <c r="P71" i="5" s="1"/>
  <c r="S71" i="5" s="1"/>
  <c r="F71" i="5" l="1"/>
  <c r="G71" i="5" s="1"/>
  <c r="L89" i="5"/>
  <c r="M89" i="5" l="1"/>
  <c r="N89" i="5" s="1"/>
  <c r="D72" i="5"/>
  <c r="C72" i="5"/>
  <c r="H71" i="5"/>
  <c r="E72" i="5" l="1"/>
  <c r="P72" i="5" s="1"/>
  <c r="S72" i="5" s="1"/>
  <c r="K90" i="5"/>
  <c r="J90" i="5"/>
  <c r="L90" i="5" l="1"/>
  <c r="M90" i="5" s="1"/>
  <c r="N90" i="5" s="1"/>
  <c r="F72" i="5"/>
  <c r="G72" i="5" s="1"/>
  <c r="J91" i="5" l="1"/>
  <c r="K91" i="5"/>
  <c r="D73" i="5"/>
  <c r="C73" i="5"/>
  <c r="H72" i="5"/>
  <c r="L91" i="5" l="1"/>
  <c r="M91" i="5" s="1"/>
  <c r="N91" i="5" s="1"/>
  <c r="E73" i="5"/>
  <c r="P73" i="5" s="1"/>
  <c r="S73" i="5" s="1"/>
  <c r="K92" i="5" l="1"/>
  <c r="J92" i="5"/>
  <c r="F73" i="5"/>
  <c r="G73" i="5" s="1"/>
  <c r="L92" i="5" l="1"/>
  <c r="M92" i="5" s="1"/>
  <c r="N92" i="5" s="1"/>
  <c r="C74" i="5"/>
  <c r="D74" i="5"/>
  <c r="H73" i="5"/>
  <c r="K93" i="5" l="1"/>
  <c r="J93" i="5"/>
  <c r="E74" i="5"/>
  <c r="P74" i="5" s="1"/>
  <c r="S74" i="5" s="1"/>
  <c r="F74" i="5" l="1"/>
  <c r="G74" i="5" s="1"/>
  <c r="C75" i="5" s="1"/>
  <c r="L93" i="5"/>
  <c r="M93" i="5" s="1"/>
  <c r="N93" i="5" s="1"/>
  <c r="H74" i="5" l="1"/>
  <c r="D75" i="5"/>
  <c r="K94" i="5"/>
  <c r="J94" i="5"/>
  <c r="E75" i="5"/>
  <c r="P75" i="5" l="1"/>
  <c r="S75" i="5" s="1"/>
  <c r="D9" i="6"/>
  <c r="I9" i="6" s="1"/>
  <c r="F75" i="5"/>
  <c r="L94" i="5"/>
  <c r="M94" i="5" s="1"/>
  <c r="N94" i="5" s="1"/>
  <c r="J95" i="5" l="1"/>
  <c r="K95" i="5"/>
  <c r="E9" i="6"/>
  <c r="G75" i="5"/>
  <c r="K9" i="6" l="1"/>
  <c r="F9" i="6"/>
  <c r="D76" i="5"/>
  <c r="C76" i="5"/>
  <c r="H75" i="5"/>
  <c r="L95" i="5"/>
  <c r="M95" i="5" s="1"/>
  <c r="N95" i="5" s="1"/>
  <c r="K96" i="5" l="1"/>
  <c r="J96" i="5"/>
  <c r="E76" i="5"/>
  <c r="B10" i="6"/>
  <c r="G9" i="6"/>
  <c r="P76" i="5" l="1"/>
  <c r="S76" i="5" s="1"/>
  <c r="L96" i="5"/>
  <c r="M96" i="5" s="1"/>
  <c r="N96" i="5" s="1"/>
  <c r="C10" i="6"/>
  <c r="F76" i="5"/>
  <c r="K97" i="5" l="1"/>
  <c r="J97" i="5"/>
  <c r="G76" i="5"/>
  <c r="L97" i="5" l="1"/>
  <c r="M97" i="5" s="1"/>
  <c r="N97" i="5" s="1"/>
  <c r="D77" i="5"/>
  <c r="H76" i="5"/>
  <c r="C77" i="5"/>
  <c r="K98" i="5" l="1"/>
  <c r="J98" i="5"/>
  <c r="E77" i="5"/>
  <c r="P77" i="5" l="1"/>
  <c r="S77" i="5" s="1"/>
  <c r="F77" i="5"/>
  <c r="L98" i="5"/>
  <c r="M98" i="5" s="1"/>
  <c r="N98" i="5" s="1"/>
  <c r="J99" i="5" l="1"/>
  <c r="K99" i="5"/>
  <c r="G77" i="5"/>
  <c r="D78" i="5" l="1"/>
  <c r="C78" i="5"/>
  <c r="H77" i="5"/>
  <c r="L99" i="5"/>
  <c r="M99" i="5" s="1"/>
  <c r="N99" i="5" s="1"/>
  <c r="K100" i="5" l="1"/>
  <c r="J100" i="5"/>
  <c r="E78" i="5"/>
  <c r="F78" i="5" s="1"/>
  <c r="J11" i="6"/>
  <c r="P78" i="5" l="1"/>
  <c r="S78" i="5" s="1"/>
  <c r="G78" i="5"/>
  <c r="L100" i="5"/>
  <c r="M100" i="5" s="1"/>
  <c r="N100" i="5" s="1"/>
  <c r="K101" i="5" l="1"/>
  <c r="J101" i="5"/>
  <c r="C79" i="5"/>
  <c r="D79" i="5"/>
  <c r="H78" i="5"/>
  <c r="E79" i="5" l="1"/>
  <c r="F79" i="5" s="1"/>
  <c r="G79" i="5" s="1"/>
  <c r="L101" i="5"/>
  <c r="M101" i="5" s="1"/>
  <c r="N101" i="5" s="1"/>
  <c r="K102" i="5" l="1"/>
  <c r="J102" i="5"/>
  <c r="D80" i="5"/>
  <c r="C80" i="5"/>
  <c r="H79" i="5"/>
  <c r="P79" i="5"/>
  <c r="S79" i="5" s="1"/>
  <c r="L102" i="5" l="1"/>
  <c r="M102" i="5" s="1"/>
  <c r="N102" i="5" s="1"/>
  <c r="E80" i="5"/>
  <c r="J103" i="5" l="1"/>
  <c r="K103" i="5"/>
  <c r="P80" i="5"/>
  <c r="S80" i="5" s="1"/>
  <c r="F80" i="5"/>
  <c r="G80" i="5" s="1"/>
  <c r="D81" i="5" l="1"/>
  <c r="C81" i="5"/>
  <c r="H80" i="5"/>
  <c r="L103" i="5"/>
  <c r="M103" i="5" s="1"/>
  <c r="N103" i="5" s="1"/>
  <c r="K104" i="5" l="1"/>
  <c r="J104" i="5"/>
  <c r="E81" i="5"/>
  <c r="P81" i="5" s="1"/>
  <c r="S81" i="5" s="1"/>
  <c r="F81" i="5" l="1"/>
  <c r="G81" i="5" s="1"/>
  <c r="L104" i="5"/>
  <c r="M104" i="5" s="1"/>
  <c r="N104" i="5" s="1"/>
  <c r="K105" i="5" l="1"/>
  <c r="J105" i="5"/>
  <c r="C82" i="5"/>
  <c r="D82" i="5"/>
  <c r="H81" i="5"/>
  <c r="E82" i="5" l="1"/>
  <c r="P82" i="5" s="1"/>
  <c r="S82" i="5" s="1"/>
  <c r="L105" i="5"/>
  <c r="M105" i="5" s="1"/>
  <c r="N105" i="5" s="1"/>
  <c r="K106" i="5" l="1"/>
  <c r="J106" i="5"/>
  <c r="F82" i="5"/>
  <c r="G82" i="5" s="1"/>
  <c r="C83" i="5" l="1"/>
  <c r="D83" i="5"/>
  <c r="H82" i="5"/>
  <c r="L106" i="5"/>
  <c r="M106" i="5" s="1"/>
  <c r="N106" i="5" s="1"/>
  <c r="J107" i="5" l="1"/>
  <c r="K107" i="5"/>
  <c r="E83" i="5"/>
  <c r="P83" i="5" s="1"/>
  <c r="S83" i="5" s="1"/>
  <c r="F83" i="5" l="1"/>
  <c r="G83" i="5" s="1"/>
  <c r="L107" i="5"/>
  <c r="M107" i="5" s="1"/>
  <c r="N107" i="5" s="1"/>
  <c r="K108" i="5" l="1"/>
  <c r="J108" i="5"/>
  <c r="D84" i="5"/>
  <c r="C84" i="5"/>
  <c r="H83" i="5"/>
  <c r="E84" i="5" l="1"/>
  <c r="P84" i="5" s="1"/>
  <c r="S84" i="5" s="1"/>
  <c r="L108" i="5"/>
  <c r="M108" i="5" s="1"/>
  <c r="N108" i="5" s="1"/>
  <c r="K109" i="5" l="1"/>
  <c r="J109" i="5"/>
  <c r="F84" i="5"/>
  <c r="G84" i="5" s="1"/>
  <c r="D85" i="5" l="1"/>
  <c r="C85" i="5"/>
  <c r="H84" i="5"/>
  <c r="L109" i="5"/>
  <c r="M109" i="5" s="1"/>
  <c r="N109" i="5" s="1"/>
  <c r="K110" i="5" l="1"/>
  <c r="J110" i="5"/>
  <c r="E85" i="5"/>
  <c r="P85" i="5" s="1"/>
  <c r="S85" i="5" s="1"/>
  <c r="F85" i="5" l="1"/>
  <c r="G85" i="5" s="1"/>
  <c r="D86" i="5" s="1"/>
  <c r="L110" i="5"/>
  <c r="M110" i="5" s="1"/>
  <c r="N110" i="5" s="1"/>
  <c r="C86" i="5" l="1"/>
  <c r="H85" i="5"/>
  <c r="J111" i="5"/>
  <c r="K111" i="5"/>
  <c r="E86" i="5"/>
  <c r="P86" i="5" s="1"/>
  <c r="S86" i="5" s="1"/>
  <c r="F86" i="5" l="1"/>
  <c r="G86" i="5" s="1"/>
  <c r="C87" i="5" s="1"/>
  <c r="L111" i="5"/>
  <c r="M111" i="5" s="1"/>
  <c r="N111" i="5" s="1"/>
  <c r="D87" i="5" l="1"/>
  <c r="H86" i="5"/>
  <c r="K112" i="5"/>
  <c r="J112" i="5"/>
  <c r="J12" i="6"/>
  <c r="E87" i="5"/>
  <c r="F87" i="5" l="1"/>
  <c r="G87" i="5" s="1"/>
  <c r="E10" i="6"/>
  <c r="P87" i="5"/>
  <c r="S87" i="5" s="1"/>
  <c r="D10" i="6"/>
  <c r="I10" i="6" s="1"/>
  <c r="L112" i="5"/>
  <c r="M112" i="5" s="1"/>
  <c r="N112" i="5" s="1"/>
  <c r="K113" i="5" l="1"/>
  <c r="J113" i="5"/>
  <c r="D88" i="5"/>
  <c r="C88" i="5"/>
  <c r="H87" i="5"/>
  <c r="K10" i="6"/>
  <c r="F10" i="6"/>
  <c r="B11" i="6" l="1"/>
  <c r="G10" i="6"/>
  <c r="L113" i="5"/>
  <c r="M113" i="5" s="1"/>
  <c r="N113" i="5" s="1"/>
  <c r="E88" i="5"/>
  <c r="F88" i="5" s="1"/>
  <c r="G88" i="5" s="1"/>
  <c r="D89" i="5" l="1"/>
  <c r="C89" i="5"/>
  <c r="H88" i="5"/>
  <c r="K114" i="5"/>
  <c r="J114" i="5"/>
  <c r="P88" i="5"/>
  <c r="S88" i="5" s="1"/>
  <c r="C11" i="6"/>
  <c r="E89" i="5" l="1"/>
  <c r="F89" i="5" s="1"/>
  <c r="L114" i="5"/>
  <c r="M114" i="5" s="1"/>
  <c r="N114" i="5" s="1"/>
  <c r="J115" i="5" l="1"/>
  <c r="K115" i="5"/>
  <c r="P89" i="5"/>
  <c r="S89" i="5" s="1"/>
  <c r="G89" i="5"/>
  <c r="C90" i="5" l="1"/>
  <c r="D90" i="5"/>
  <c r="H89" i="5"/>
  <c r="L115" i="5"/>
  <c r="M115" i="5" s="1"/>
  <c r="N115" i="5" s="1"/>
  <c r="K116" i="5" l="1"/>
  <c r="J116" i="5"/>
  <c r="E90" i="5"/>
  <c r="P90" i="5" l="1"/>
  <c r="S90" i="5" s="1"/>
  <c r="F90" i="5"/>
  <c r="L116" i="5"/>
  <c r="M116" i="5" s="1"/>
  <c r="N116" i="5" s="1"/>
  <c r="K117" i="5" l="1"/>
  <c r="J117" i="5"/>
  <c r="G90" i="5"/>
  <c r="L117" i="5" l="1"/>
  <c r="M117" i="5" s="1"/>
  <c r="N117" i="5" s="1"/>
  <c r="C91" i="5"/>
  <c r="D91" i="5"/>
  <c r="H90" i="5"/>
  <c r="K118" i="5" l="1"/>
  <c r="J118" i="5"/>
  <c r="E91" i="5"/>
  <c r="P91" i="5" l="1"/>
  <c r="S91" i="5" s="1"/>
  <c r="F91" i="5"/>
  <c r="G91" i="5" s="1"/>
  <c r="L118" i="5"/>
  <c r="M118" i="5" s="1"/>
  <c r="N118" i="5" s="1"/>
  <c r="J119" i="5" l="1"/>
  <c r="K119" i="5"/>
  <c r="D92" i="5"/>
  <c r="C92" i="5"/>
  <c r="H91" i="5"/>
  <c r="E92" i="5" l="1"/>
  <c r="F92" i="5" s="1"/>
  <c r="G92" i="5" s="1"/>
  <c r="L119" i="5"/>
  <c r="M119" i="5" s="1"/>
  <c r="N119" i="5" s="1"/>
  <c r="D93" i="5" l="1"/>
  <c r="C93" i="5"/>
  <c r="H92" i="5"/>
  <c r="K120" i="5"/>
  <c r="J120" i="5"/>
  <c r="P92" i="5"/>
  <c r="S92" i="5" s="1"/>
  <c r="E93" i="5" l="1"/>
  <c r="P93" i="5" s="1"/>
  <c r="S93" i="5" s="1"/>
  <c r="L120" i="5"/>
  <c r="M120" i="5" s="1"/>
  <c r="N120" i="5" s="1"/>
  <c r="F93" i="5" l="1"/>
  <c r="G93" i="5" s="1"/>
  <c r="D94" i="5" s="1"/>
  <c r="K121" i="5"/>
  <c r="J121" i="5"/>
  <c r="H93" i="5" l="1"/>
  <c r="C94" i="5"/>
  <c r="E94" i="5" s="1"/>
  <c r="P94" i="5" s="1"/>
  <c r="S94" i="5" s="1"/>
  <c r="L121" i="5"/>
  <c r="M121" i="5" s="1"/>
  <c r="N121" i="5" s="1"/>
  <c r="F94" i="5" l="1"/>
  <c r="G94" i="5" s="1"/>
  <c r="C95" i="5" s="1"/>
  <c r="K122" i="5"/>
  <c r="J122" i="5"/>
  <c r="H94" i="5" l="1"/>
  <c r="D95" i="5"/>
  <c r="L122" i="5"/>
  <c r="M122" i="5" s="1"/>
  <c r="N122" i="5" s="1"/>
  <c r="E95" i="5"/>
  <c r="P95" i="5" s="1"/>
  <c r="S95" i="5" s="1"/>
  <c r="F95" i="5" l="1"/>
  <c r="G95" i="5" s="1"/>
  <c r="D96" i="5" s="1"/>
  <c r="J123" i="5"/>
  <c r="K123" i="5"/>
  <c r="H95" i="5" l="1"/>
  <c r="C96" i="5"/>
  <c r="L123" i="5"/>
  <c r="M123" i="5" s="1"/>
  <c r="N123" i="5" s="1"/>
  <c r="E96" i="5"/>
  <c r="P96" i="5" s="1"/>
  <c r="S96" i="5" s="1"/>
  <c r="F96" i="5" l="1"/>
  <c r="G96" i="5" s="1"/>
  <c r="D97" i="5" s="1"/>
  <c r="K124" i="5"/>
  <c r="J124" i="5"/>
  <c r="J13" i="6"/>
  <c r="H96" i="5" l="1"/>
  <c r="C97" i="5"/>
  <c r="E97" i="5" s="1"/>
  <c r="P97" i="5" s="1"/>
  <c r="S97" i="5" s="1"/>
  <c r="L124" i="5"/>
  <c r="F97" i="5" l="1"/>
  <c r="G97" i="5" s="1"/>
  <c r="C98" i="5" s="1"/>
  <c r="M124" i="5"/>
  <c r="N124" i="5" s="1"/>
  <c r="H97" i="5" l="1"/>
  <c r="D98" i="5"/>
  <c r="K125" i="5"/>
  <c r="J125" i="5"/>
  <c r="E98" i="5"/>
  <c r="P98" i="5" s="1"/>
  <c r="S98" i="5" s="1"/>
  <c r="L125" i="5" l="1"/>
  <c r="F98" i="5"/>
  <c r="G98" i="5" s="1"/>
  <c r="C99" i="5" l="1"/>
  <c r="D99" i="5"/>
  <c r="H98" i="5"/>
  <c r="M125" i="5"/>
  <c r="N125" i="5" s="1"/>
  <c r="K126" i="5" l="1"/>
  <c r="J126" i="5"/>
  <c r="E99" i="5"/>
  <c r="P99" i="5" l="1"/>
  <c r="S99" i="5" s="1"/>
  <c r="D11" i="6"/>
  <c r="I11" i="6" s="1"/>
  <c r="L126" i="5"/>
  <c r="M126" i="5" s="1"/>
  <c r="N126" i="5" s="1"/>
  <c r="F99" i="5"/>
  <c r="J127" i="5" l="1"/>
  <c r="K127" i="5"/>
  <c r="E11" i="6"/>
  <c r="G99" i="5"/>
  <c r="D100" i="5" l="1"/>
  <c r="C100" i="5"/>
  <c r="H99" i="5"/>
  <c r="K11" i="6"/>
  <c r="F11" i="6"/>
  <c r="L127" i="5"/>
  <c r="M127" i="5" s="1"/>
  <c r="N127" i="5" s="1"/>
  <c r="K128" i="5" l="1"/>
  <c r="J128" i="5"/>
  <c r="E100" i="5"/>
  <c r="F100" i="5" s="1"/>
  <c r="B12" i="6"/>
  <c r="G11" i="6"/>
  <c r="P100" i="5" l="1"/>
  <c r="S100" i="5" s="1"/>
  <c r="G100" i="5"/>
  <c r="L128" i="5"/>
  <c r="M128" i="5" s="1"/>
  <c r="N128" i="5" s="1"/>
  <c r="C12" i="6"/>
  <c r="K129" i="5" l="1"/>
  <c r="J129" i="5"/>
  <c r="D101" i="5"/>
  <c r="H100" i="5"/>
  <c r="C101" i="5"/>
  <c r="L129" i="5" l="1"/>
  <c r="M129" i="5" s="1"/>
  <c r="N129" i="5" s="1"/>
  <c r="E101" i="5"/>
  <c r="K130" i="5" l="1"/>
  <c r="J130" i="5"/>
  <c r="P101" i="5"/>
  <c r="S101" i="5" s="1"/>
  <c r="F101" i="5"/>
  <c r="L130" i="5" l="1"/>
  <c r="M130" i="5" s="1"/>
  <c r="N130" i="5" s="1"/>
  <c r="G101" i="5"/>
  <c r="J131" i="5" l="1"/>
  <c r="K131" i="5"/>
  <c r="D102" i="5"/>
  <c r="C102" i="5"/>
  <c r="H101" i="5"/>
  <c r="L131" i="5" l="1"/>
  <c r="M131" i="5" s="1"/>
  <c r="N131" i="5" s="1"/>
  <c r="E102" i="5"/>
  <c r="K132" i="5" l="1"/>
  <c r="J132" i="5"/>
  <c r="P102" i="5"/>
  <c r="S102" i="5" s="1"/>
  <c r="F102" i="5"/>
  <c r="L132" i="5" l="1"/>
  <c r="M132" i="5" s="1"/>
  <c r="N132" i="5" s="1"/>
  <c r="G102" i="5"/>
  <c r="K133" i="5" l="1"/>
  <c r="J133" i="5"/>
  <c r="C103" i="5"/>
  <c r="D103" i="5"/>
  <c r="H102" i="5"/>
  <c r="E103" i="5" l="1"/>
  <c r="F103" i="5" s="1"/>
  <c r="L133" i="5"/>
  <c r="M133" i="5" s="1"/>
  <c r="N133" i="5" s="1"/>
  <c r="G103" i="5" l="1"/>
  <c r="K134" i="5"/>
  <c r="J134" i="5"/>
  <c r="P103" i="5"/>
  <c r="S103" i="5" s="1"/>
  <c r="L134" i="5" l="1"/>
  <c r="M134" i="5" s="1"/>
  <c r="N134" i="5" s="1"/>
  <c r="D104" i="5"/>
  <c r="C104" i="5"/>
  <c r="H103" i="5"/>
  <c r="J135" i="5" l="1"/>
  <c r="K135" i="5"/>
  <c r="E104" i="5"/>
  <c r="P104" i="5" l="1"/>
  <c r="S104" i="5" s="1"/>
  <c r="F104" i="5"/>
  <c r="G104" i="5" s="1"/>
  <c r="L135" i="5"/>
  <c r="M135" i="5" s="1"/>
  <c r="N135" i="5" s="1"/>
  <c r="K136" i="5" l="1"/>
  <c r="J136" i="5"/>
  <c r="D105" i="5"/>
  <c r="C105" i="5"/>
  <c r="H104" i="5"/>
  <c r="J14" i="6"/>
  <c r="E105" i="5" l="1"/>
  <c r="P105" i="5" s="1"/>
  <c r="S105" i="5" s="1"/>
  <c r="L136" i="5"/>
  <c r="M136" i="5" s="1"/>
  <c r="N136" i="5" s="1"/>
  <c r="F105" i="5" l="1"/>
  <c r="G105" i="5" s="1"/>
  <c r="H105" i="5" s="1"/>
  <c r="K137" i="5"/>
  <c r="J137" i="5"/>
  <c r="C106" i="5" l="1"/>
  <c r="E106" i="5" s="1"/>
  <c r="P106" i="5" s="1"/>
  <c r="S106" i="5" s="1"/>
  <c r="D106" i="5"/>
  <c r="L137" i="5"/>
  <c r="M137" i="5" s="1"/>
  <c r="N137" i="5" s="1"/>
  <c r="F106" i="5" l="1"/>
  <c r="G106" i="5" s="1"/>
  <c r="H106" i="5" s="1"/>
  <c r="K138" i="5"/>
  <c r="J138" i="5"/>
  <c r="C107" i="5" l="1"/>
  <c r="E107" i="5" s="1"/>
  <c r="P107" i="5" s="1"/>
  <c r="S107" i="5" s="1"/>
  <c r="D107" i="5"/>
  <c r="L138" i="5"/>
  <c r="M138" i="5" s="1"/>
  <c r="N138" i="5" s="1"/>
  <c r="F107" i="5" l="1"/>
  <c r="G107" i="5" s="1"/>
  <c r="C108" i="5" s="1"/>
  <c r="J139" i="5"/>
  <c r="K139" i="5"/>
  <c r="D108" i="5"/>
  <c r="H107" i="5"/>
  <c r="E108" i="5" l="1"/>
  <c r="P108" i="5" s="1"/>
  <c r="S108" i="5" s="1"/>
  <c r="L139" i="5"/>
  <c r="M139" i="5" s="1"/>
  <c r="N139" i="5" s="1"/>
  <c r="K140" i="5" l="1"/>
  <c r="J140" i="5"/>
  <c r="F108" i="5"/>
  <c r="G108" i="5" s="1"/>
  <c r="C109" i="5" l="1"/>
  <c r="D109" i="5"/>
  <c r="H108" i="5"/>
  <c r="L140" i="5"/>
  <c r="M140" i="5" s="1"/>
  <c r="N140" i="5" s="1"/>
  <c r="K141" i="5" l="1"/>
  <c r="J141" i="5"/>
  <c r="E109" i="5"/>
  <c r="P109" i="5" s="1"/>
  <c r="S109" i="5" s="1"/>
  <c r="F109" i="5" l="1"/>
  <c r="G109" i="5" s="1"/>
  <c r="L141" i="5"/>
  <c r="M141" i="5" s="1"/>
  <c r="N141" i="5" s="1"/>
  <c r="K142" i="5" l="1"/>
  <c r="J142" i="5"/>
  <c r="D110" i="5"/>
  <c r="C110" i="5"/>
  <c r="H109" i="5"/>
  <c r="E110" i="5" l="1"/>
  <c r="P110" i="5" s="1"/>
  <c r="S110" i="5" s="1"/>
  <c r="L142" i="5"/>
  <c r="M142" i="5" s="1"/>
  <c r="N142" i="5" s="1"/>
  <c r="F110" i="5" l="1"/>
  <c r="G110" i="5" s="1"/>
  <c r="H110" i="5" s="1"/>
  <c r="J143" i="5"/>
  <c r="K143" i="5"/>
  <c r="C111" i="5" l="1"/>
  <c r="E111" i="5" s="1"/>
  <c r="D111" i="5"/>
  <c r="L143" i="5"/>
  <c r="M143" i="5" s="1"/>
  <c r="N143" i="5" s="1"/>
  <c r="F111" i="5" l="1"/>
  <c r="E12" i="6" s="1"/>
  <c r="K144" i="5"/>
  <c r="J144" i="5"/>
  <c r="G111" i="5"/>
  <c r="P111" i="5"/>
  <c r="S111" i="5" s="1"/>
  <c r="D12" i="6"/>
  <c r="I12" i="6" s="1"/>
  <c r="C112" i="5" l="1"/>
  <c r="D112" i="5"/>
  <c r="H111" i="5"/>
  <c r="K12" i="6"/>
  <c r="F12" i="6"/>
  <c r="L144" i="5"/>
  <c r="M144" i="5" s="1"/>
  <c r="N144" i="5" s="1"/>
  <c r="K145" i="5" l="1"/>
  <c r="J145" i="5"/>
  <c r="E112" i="5"/>
  <c r="B13" i="6"/>
  <c r="G12" i="6"/>
  <c r="P112" i="5" l="1"/>
  <c r="S112" i="5" s="1"/>
  <c r="F112" i="5"/>
  <c r="C13" i="6"/>
  <c r="L145" i="5"/>
  <c r="M145" i="5" s="1"/>
  <c r="N145" i="5" s="1"/>
  <c r="K146" i="5" l="1"/>
  <c r="J146" i="5"/>
  <c r="G112" i="5"/>
  <c r="C113" i="5" l="1"/>
  <c r="D113" i="5"/>
  <c r="H112" i="5"/>
  <c r="L146" i="5"/>
  <c r="M146" i="5" l="1"/>
  <c r="N146" i="5" s="1"/>
  <c r="E113" i="5"/>
  <c r="F113" i="5" s="1"/>
  <c r="G113" i="5" s="1"/>
  <c r="P113" i="5" l="1"/>
  <c r="S113" i="5" s="1"/>
  <c r="J147" i="5"/>
  <c r="K147" i="5"/>
  <c r="D114" i="5"/>
  <c r="C114" i="5"/>
  <c r="H113" i="5"/>
  <c r="L147" i="5" l="1"/>
  <c r="M147" i="5" s="1"/>
  <c r="N147" i="5" s="1"/>
  <c r="E114" i="5"/>
  <c r="K148" i="5" l="1"/>
  <c r="J148" i="5"/>
  <c r="P114" i="5"/>
  <c r="S114" i="5" s="1"/>
  <c r="F114" i="5"/>
  <c r="J15" i="6"/>
  <c r="L148" i="5" l="1"/>
  <c r="G114" i="5"/>
  <c r="D115" i="5" l="1"/>
  <c r="C115" i="5"/>
  <c r="H114" i="5"/>
  <c r="M148" i="5"/>
  <c r="N148" i="5" s="1"/>
  <c r="K149" i="5" l="1"/>
  <c r="J149" i="5"/>
  <c r="E115" i="5"/>
  <c r="P115" i="5" l="1"/>
  <c r="S115" i="5" s="1"/>
  <c r="L149" i="5"/>
  <c r="M149" i="5" s="1"/>
  <c r="N149" i="5" s="1"/>
  <c r="F115" i="5"/>
  <c r="K150" i="5" l="1"/>
  <c r="J150" i="5"/>
  <c r="G115" i="5"/>
  <c r="C116" i="5" l="1"/>
  <c r="D116" i="5"/>
  <c r="H115" i="5"/>
  <c r="L150" i="5"/>
  <c r="M150" i="5" s="1"/>
  <c r="N150" i="5" s="1"/>
  <c r="J151" i="5" l="1"/>
  <c r="K151" i="5"/>
  <c r="E116" i="5"/>
  <c r="F116" i="5" s="1"/>
  <c r="G116" i="5" s="1"/>
  <c r="C117" i="5" l="1"/>
  <c r="D117" i="5"/>
  <c r="H116" i="5"/>
  <c r="P116" i="5"/>
  <c r="S116" i="5" s="1"/>
  <c r="L151" i="5"/>
  <c r="M151" i="5" s="1"/>
  <c r="N151" i="5" s="1"/>
  <c r="K152" i="5" l="1"/>
  <c r="J152" i="5"/>
  <c r="E117" i="5"/>
  <c r="P117" i="5" s="1"/>
  <c r="S117" i="5" s="1"/>
  <c r="F117" i="5" l="1"/>
  <c r="G117" i="5" s="1"/>
  <c r="C118" i="5" s="1"/>
  <c r="L152" i="5"/>
  <c r="M152" i="5" s="1"/>
  <c r="N152" i="5" s="1"/>
  <c r="D118" i="5" l="1"/>
  <c r="H117" i="5"/>
  <c r="K153" i="5"/>
  <c r="J153" i="5"/>
  <c r="E118" i="5"/>
  <c r="P118" i="5" s="1"/>
  <c r="S118" i="5" s="1"/>
  <c r="F118" i="5" l="1"/>
  <c r="G118" i="5" s="1"/>
  <c r="D119" i="5" s="1"/>
  <c r="L153" i="5"/>
  <c r="M153" i="5" s="1"/>
  <c r="N153" i="5" s="1"/>
  <c r="H118" i="5" l="1"/>
  <c r="C119" i="5"/>
  <c r="E119" i="5" s="1"/>
  <c r="P119" i="5" s="1"/>
  <c r="S119" i="5" s="1"/>
  <c r="K154" i="5"/>
  <c r="J154" i="5"/>
  <c r="L154" i="5" l="1"/>
  <c r="M154" i="5" s="1"/>
  <c r="N154" i="5" s="1"/>
  <c r="F119" i="5"/>
  <c r="G119" i="5" s="1"/>
  <c r="J155" i="5" l="1"/>
  <c r="K155" i="5"/>
  <c r="C120" i="5"/>
  <c r="D120" i="5"/>
  <c r="H119" i="5"/>
  <c r="E120" i="5" l="1"/>
  <c r="P120" i="5" s="1"/>
  <c r="S120" i="5" s="1"/>
  <c r="L155" i="5"/>
  <c r="M155" i="5" s="1"/>
  <c r="N155" i="5" s="1"/>
  <c r="J156" i="5" l="1"/>
  <c r="K156" i="5"/>
  <c r="F120" i="5"/>
  <c r="G120" i="5" s="1"/>
  <c r="C121" i="5" l="1"/>
  <c r="D121" i="5"/>
  <c r="H120" i="5"/>
  <c r="L156" i="5"/>
  <c r="M156" i="5" s="1"/>
  <c r="N156" i="5" s="1"/>
  <c r="K157" i="5" l="1"/>
  <c r="J157" i="5"/>
  <c r="E121" i="5"/>
  <c r="P121" i="5" s="1"/>
  <c r="S121" i="5" s="1"/>
  <c r="F121" i="5" l="1"/>
  <c r="G121" i="5" s="1"/>
  <c r="L157" i="5"/>
  <c r="M157" i="5" s="1"/>
  <c r="N157" i="5" s="1"/>
  <c r="K158" i="5" l="1"/>
  <c r="J158" i="5"/>
  <c r="D122" i="5"/>
  <c r="C122" i="5"/>
  <c r="H121" i="5"/>
  <c r="L158" i="5" l="1"/>
  <c r="E122" i="5"/>
  <c r="P122" i="5" s="1"/>
  <c r="S122" i="5" s="1"/>
  <c r="M158" i="5" l="1"/>
  <c r="N158" i="5" s="1"/>
  <c r="F122" i="5"/>
  <c r="G122" i="5" s="1"/>
  <c r="D123" i="5" l="1"/>
  <c r="C123" i="5"/>
  <c r="H122" i="5"/>
  <c r="J159" i="5"/>
  <c r="K159" i="5"/>
  <c r="L159" i="5" l="1"/>
  <c r="M159" i="5" s="1"/>
  <c r="N159" i="5" s="1"/>
  <c r="E123" i="5"/>
  <c r="F123" i="5" s="1"/>
  <c r="E13" i="6" s="1"/>
  <c r="K160" i="5" l="1"/>
  <c r="J160" i="5"/>
  <c r="G123" i="5"/>
  <c r="K13" i="6"/>
  <c r="F13" i="6"/>
  <c r="P123" i="5"/>
  <c r="S123" i="5" s="1"/>
  <c r="D13" i="6"/>
  <c r="I13" i="6" s="1"/>
  <c r="J16" i="6"/>
  <c r="C124" i="5" l="1"/>
  <c r="D124" i="5"/>
  <c r="H123" i="5"/>
  <c r="L160" i="5"/>
  <c r="M160" i="5" s="1"/>
  <c r="N160" i="5" s="1"/>
  <c r="B14" i="6"/>
  <c r="G13" i="6"/>
  <c r="K161" i="5" l="1"/>
  <c r="J161" i="5"/>
  <c r="C14" i="6"/>
  <c r="E124" i="5"/>
  <c r="F124" i="5" s="1"/>
  <c r="G124" i="5" s="1"/>
  <c r="C125" i="5" l="1"/>
  <c r="D125" i="5"/>
  <c r="H124" i="5"/>
  <c r="P124" i="5"/>
  <c r="S124" i="5" s="1"/>
  <c r="L161" i="5"/>
  <c r="M161" i="5" s="1"/>
  <c r="N161" i="5" s="1"/>
  <c r="J162" i="5" l="1"/>
  <c r="K162" i="5"/>
  <c r="E125" i="5"/>
  <c r="P125" i="5" l="1"/>
  <c r="S125" i="5" s="1"/>
  <c r="F125" i="5"/>
  <c r="L162" i="5"/>
  <c r="M162" i="5" s="1"/>
  <c r="N162" i="5" s="1"/>
  <c r="J163" i="5" l="1"/>
  <c r="K163" i="5"/>
  <c r="G125" i="5"/>
  <c r="D126" i="5" l="1"/>
  <c r="C126" i="5"/>
  <c r="H125" i="5"/>
  <c r="L163" i="5"/>
  <c r="M163" i="5" s="1"/>
  <c r="N163" i="5" s="1"/>
  <c r="K164" i="5" l="1"/>
  <c r="J164" i="5"/>
  <c r="E126" i="5"/>
  <c r="P126" i="5" l="1"/>
  <c r="S126" i="5" s="1"/>
  <c r="L164" i="5"/>
  <c r="M164" i="5" s="1"/>
  <c r="N164" i="5" s="1"/>
  <c r="F126" i="5"/>
  <c r="K165" i="5" l="1"/>
  <c r="J165" i="5"/>
  <c r="G126" i="5"/>
  <c r="D127" i="5" l="1"/>
  <c r="C127" i="5"/>
  <c r="H126" i="5"/>
  <c r="L165" i="5"/>
  <c r="M165" i="5" s="1"/>
  <c r="N165" i="5" s="1"/>
  <c r="K166" i="5" l="1"/>
  <c r="J166" i="5"/>
  <c r="E127" i="5"/>
  <c r="P127" i="5" l="1"/>
  <c r="S127" i="5" s="1"/>
  <c r="L166" i="5"/>
  <c r="M166" i="5" s="1"/>
  <c r="N166" i="5" s="1"/>
  <c r="F127" i="5"/>
  <c r="J167" i="5" l="1"/>
  <c r="K167" i="5"/>
  <c r="G127" i="5"/>
  <c r="C128" i="5" l="1"/>
  <c r="D128" i="5"/>
  <c r="H127" i="5"/>
  <c r="L167" i="5"/>
  <c r="M167" i="5" s="1"/>
  <c r="N167" i="5" s="1"/>
  <c r="K168" i="5" l="1"/>
  <c r="J168" i="5"/>
  <c r="E128" i="5"/>
  <c r="F128" i="5" s="1"/>
  <c r="G128" i="5" s="1"/>
  <c r="C129" i="5" l="1"/>
  <c r="D129" i="5"/>
  <c r="H128" i="5"/>
  <c r="P128" i="5"/>
  <c r="S128" i="5" s="1"/>
  <c r="L168" i="5"/>
  <c r="M168" i="5" s="1"/>
  <c r="N168" i="5" s="1"/>
  <c r="K169" i="5" l="1"/>
  <c r="J169" i="5"/>
  <c r="E129" i="5"/>
  <c r="P129" i="5" s="1"/>
  <c r="L169" i="5" l="1"/>
  <c r="M169" i="5" s="1"/>
  <c r="N169" i="5" s="1"/>
  <c r="S129" i="5"/>
  <c r="F129" i="5"/>
  <c r="G129" i="5" s="1"/>
  <c r="J170" i="5" l="1"/>
  <c r="K170" i="5"/>
  <c r="D130" i="5"/>
  <c r="C130" i="5"/>
  <c r="H129" i="5"/>
  <c r="L170" i="5" l="1"/>
  <c r="E130" i="5"/>
  <c r="P130" i="5" s="1"/>
  <c r="F130" i="5" l="1"/>
  <c r="G130" i="5" s="1"/>
  <c r="D131" i="5" s="1"/>
  <c r="S130" i="5"/>
  <c r="M170" i="5"/>
  <c r="N170" i="5" s="1"/>
  <c r="C131" i="5" l="1"/>
  <c r="H130" i="5"/>
  <c r="J171" i="5"/>
  <c r="K171" i="5"/>
  <c r="E131" i="5"/>
  <c r="P131" i="5" s="1"/>
  <c r="S131" i="5" l="1"/>
  <c r="F131" i="5"/>
  <c r="G131" i="5" s="1"/>
  <c r="L171" i="5"/>
  <c r="M171" i="5" s="1"/>
  <c r="N171" i="5" s="1"/>
  <c r="K172" i="5" l="1"/>
  <c r="J172" i="5"/>
  <c r="J17" i="6"/>
  <c r="C132" i="5"/>
  <c r="D132" i="5"/>
  <c r="H131" i="5"/>
  <c r="E132" i="5" l="1"/>
  <c r="P132" i="5" s="1"/>
  <c r="L172" i="5"/>
  <c r="M172" i="5" s="1"/>
  <c r="N172" i="5" s="1"/>
  <c r="J173" i="5" l="1"/>
  <c r="K173" i="5"/>
  <c r="S132" i="5"/>
  <c r="F132" i="5"/>
  <c r="G132" i="5" s="1"/>
  <c r="C133" i="5" l="1"/>
  <c r="D133" i="5"/>
  <c r="H132" i="5"/>
  <c r="L173" i="5"/>
  <c r="M173" i="5" s="1"/>
  <c r="N173" i="5" s="1"/>
  <c r="K174" i="5" l="1"/>
  <c r="J174" i="5"/>
  <c r="E133" i="5"/>
  <c r="P133" i="5" s="1"/>
  <c r="F133" i="5" l="1"/>
  <c r="G133" i="5" s="1"/>
  <c r="S133" i="5"/>
  <c r="L174" i="5"/>
  <c r="M174" i="5" s="1"/>
  <c r="N174" i="5" s="1"/>
  <c r="J175" i="5" l="1"/>
  <c r="K175" i="5"/>
  <c r="D134" i="5"/>
  <c r="C134" i="5"/>
  <c r="H133" i="5"/>
  <c r="E134" i="5" l="1"/>
  <c r="P134" i="5" s="1"/>
  <c r="S134" i="5" s="1"/>
  <c r="L175" i="5"/>
  <c r="M175" i="5" s="1"/>
  <c r="N175" i="5" s="1"/>
  <c r="K176" i="5" l="1"/>
  <c r="J176" i="5"/>
  <c r="F134" i="5"/>
  <c r="G134" i="5" s="1"/>
  <c r="C135" i="5" l="1"/>
  <c r="D135" i="5"/>
  <c r="H134" i="5"/>
  <c r="L176" i="5"/>
  <c r="M176" i="5" s="1"/>
  <c r="N176" i="5" s="1"/>
  <c r="J177" i="5" l="1"/>
  <c r="K177" i="5"/>
  <c r="E135" i="5"/>
  <c r="F135" i="5" s="1"/>
  <c r="E14" i="6" s="1"/>
  <c r="K14" i="6" l="1"/>
  <c r="F14" i="6"/>
  <c r="G135" i="5"/>
  <c r="P135" i="5"/>
  <c r="S135" i="5" s="1"/>
  <c r="D14" i="6"/>
  <c r="I14" i="6" s="1"/>
  <c r="L177" i="5"/>
  <c r="M177" i="5" s="1"/>
  <c r="N177" i="5" s="1"/>
  <c r="K178" i="5" l="1"/>
  <c r="J178" i="5"/>
  <c r="C136" i="5"/>
  <c r="D136" i="5"/>
  <c r="H135" i="5"/>
  <c r="B15" i="6"/>
  <c r="G14" i="6"/>
  <c r="C15" i="6" l="1"/>
  <c r="E136" i="5"/>
  <c r="L178" i="5"/>
  <c r="M178" i="5" s="1"/>
  <c r="N178" i="5" s="1"/>
  <c r="K179" i="5" l="1"/>
  <c r="J179" i="5"/>
  <c r="P136" i="5"/>
  <c r="S136" i="5" s="1"/>
  <c r="F136" i="5"/>
  <c r="L179" i="5" l="1"/>
  <c r="M179" i="5" s="1"/>
  <c r="N179" i="5" s="1"/>
  <c r="G136" i="5"/>
  <c r="K180" i="5" l="1"/>
  <c r="J180" i="5"/>
  <c r="C137" i="5"/>
  <c r="D137" i="5"/>
  <c r="H136" i="5"/>
  <c r="L180" i="5" l="1"/>
  <c r="M180" i="5" s="1"/>
  <c r="N180" i="5" s="1"/>
  <c r="E137" i="5"/>
  <c r="J181" i="5" l="1"/>
  <c r="K181" i="5"/>
  <c r="P137" i="5"/>
  <c r="S137" i="5" s="1"/>
  <c r="F137" i="5"/>
  <c r="G137" i="5" l="1"/>
  <c r="L181" i="5"/>
  <c r="M181" i="5" s="1"/>
  <c r="N181" i="5" s="1"/>
  <c r="K182" i="5" l="1"/>
  <c r="J182" i="5"/>
  <c r="D138" i="5"/>
  <c r="C138" i="5"/>
  <c r="H137" i="5"/>
  <c r="L182" i="5" l="1"/>
  <c r="M182" i="5" s="1"/>
  <c r="N182" i="5" s="1"/>
  <c r="E138" i="5"/>
  <c r="K183" i="5" l="1"/>
  <c r="J183" i="5"/>
  <c r="P138" i="5"/>
  <c r="S138" i="5" s="1"/>
  <c r="F138" i="5"/>
  <c r="L183" i="5" l="1"/>
  <c r="J18" i="6" s="1"/>
  <c r="G138" i="5"/>
  <c r="D139" i="5" l="1"/>
  <c r="C139" i="5"/>
  <c r="H138" i="5"/>
  <c r="M183" i="5"/>
  <c r="N183" i="5" s="1"/>
  <c r="E139" i="5" l="1"/>
  <c r="F139" i="5" s="1"/>
  <c r="G139" i="5" s="1"/>
  <c r="K184" i="5"/>
  <c r="J184" i="5"/>
  <c r="L184" i="5" l="1"/>
  <c r="M184" i="5" s="1"/>
  <c r="N184" i="5" s="1"/>
  <c r="C140" i="5"/>
  <c r="D140" i="5"/>
  <c r="H139" i="5"/>
  <c r="P139" i="5"/>
  <c r="S139" i="5" s="1"/>
  <c r="J185" i="5" l="1"/>
  <c r="E140" i="5"/>
  <c r="F140" i="5" s="1"/>
  <c r="G140" i="5" s="1"/>
  <c r="C141" i="5" l="1"/>
  <c r="D141" i="5"/>
  <c r="H140" i="5"/>
  <c r="P140" i="5"/>
  <c r="S140" i="5" s="1"/>
  <c r="L185" i="5"/>
  <c r="K185" i="5" l="1"/>
  <c r="M185" i="5" s="1"/>
  <c r="N185" i="5" s="1"/>
  <c r="J186" i="5" s="1"/>
  <c r="E141" i="5"/>
  <c r="P141" i="5" s="1"/>
  <c r="S141" i="5" s="1"/>
  <c r="F141" i="5" l="1"/>
  <c r="G141" i="5" s="1"/>
  <c r="L186" i="5"/>
  <c r="K186" i="5" l="1"/>
  <c r="M186" i="5" s="1"/>
  <c r="N186" i="5" s="1"/>
  <c r="J187" i="5" s="1"/>
  <c r="D142" i="5"/>
  <c r="C142" i="5"/>
  <c r="H141" i="5"/>
  <c r="L187" i="5" l="1"/>
  <c r="K187" i="5" s="1"/>
  <c r="M187" i="5" s="1"/>
  <c r="N187" i="5" s="1"/>
  <c r="E142" i="5"/>
  <c r="P142" i="5" s="1"/>
  <c r="S142" i="5" s="1"/>
  <c r="J188" i="5" l="1"/>
  <c r="F142" i="5"/>
  <c r="G142" i="5" s="1"/>
  <c r="C143" i="5" l="1"/>
  <c r="D143" i="5"/>
  <c r="H142" i="5"/>
  <c r="L188" i="5"/>
  <c r="K188" i="5" l="1"/>
  <c r="M188" i="5" s="1"/>
  <c r="N188" i="5" s="1"/>
  <c r="J189" i="5" s="1"/>
  <c r="L189" i="5" s="1"/>
  <c r="K189" i="5" s="1"/>
  <c r="M189" i="5" s="1"/>
  <c r="N189" i="5" s="1"/>
  <c r="J190" i="5" s="1"/>
  <c r="L190" i="5" s="1"/>
  <c r="K190" i="5" s="1"/>
  <c r="M190" i="5" s="1"/>
  <c r="N190" i="5" s="1"/>
  <c r="E143" i="5"/>
  <c r="P143" i="5" s="1"/>
  <c r="S143" i="5" s="1"/>
  <c r="J191" i="5" l="1"/>
  <c r="K191" i="5"/>
  <c r="F143" i="5"/>
  <c r="G143" i="5" s="1"/>
  <c r="C144" i="5" l="1"/>
  <c r="H143" i="5"/>
  <c r="D144" i="5"/>
  <c r="L191" i="5"/>
  <c r="M191" i="5" s="1"/>
  <c r="N191" i="5" s="1"/>
  <c r="J192" i="5" l="1"/>
  <c r="E144" i="5"/>
  <c r="P144" i="5" s="1"/>
  <c r="S144" i="5" s="1"/>
  <c r="F144" i="5" l="1"/>
  <c r="G144" i="5" s="1"/>
  <c r="L192" i="5"/>
  <c r="K192" i="5" l="1"/>
  <c r="M192" i="5" s="1"/>
  <c r="N192" i="5" s="1"/>
  <c r="C145" i="5"/>
  <c r="D145" i="5"/>
  <c r="H144" i="5"/>
  <c r="J193" i="5" l="1"/>
  <c r="L193" i="5" s="1"/>
  <c r="K193" i="5"/>
  <c r="M193" i="5" s="1"/>
  <c r="N193" i="5" s="1"/>
  <c r="J194" i="5" s="1"/>
  <c r="L194" i="5" s="1"/>
  <c r="E145" i="5"/>
  <c r="P145" i="5" s="1"/>
  <c r="S145" i="5" s="1"/>
  <c r="K194" i="5" l="1"/>
  <c r="M194" i="5" s="1"/>
  <c r="N194" i="5" s="1"/>
  <c r="F145" i="5"/>
  <c r="G145" i="5" s="1"/>
  <c r="J195" i="5" l="1"/>
  <c r="L195" i="5" s="1"/>
  <c r="J19" i="6" s="1"/>
  <c r="K195" i="5"/>
  <c r="D146" i="5"/>
  <c r="C146" i="5"/>
  <c r="H145" i="5"/>
  <c r="M195" i="5" l="1"/>
  <c r="N195" i="5" s="1"/>
  <c r="E146" i="5"/>
  <c r="P146" i="5" s="1"/>
  <c r="S146" i="5" s="1"/>
  <c r="J196" i="5" l="1"/>
  <c r="L196" i="5" s="1"/>
  <c r="F146" i="5"/>
  <c r="G146" i="5" s="1"/>
  <c r="K196" i="5" l="1"/>
  <c r="M196" i="5" s="1"/>
  <c r="N196" i="5" s="1"/>
  <c r="D147" i="5"/>
  <c r="C147" i="5"/>
  <c r="H146" i="5"/>
  <c r="J197" i="5" l="1"/>
  <c r="L197" i="5" s="1"/>
  <c r="K197" i="5"/>
  <c r="E147" i="5"/>
  <c r="M197" i="5" l="1"/>
  <c r="N197" i="5" s="1"/>
  <c r="J198" i="5" s="1"/>
  <c r="L198" i="5" s="1"/>
  <c r="P147" i="5"/>
  <c r="S147" i="5" s="1"/>
  <c r="D15" i="6"/>
  <c r="I15" i="6" s="1"/>
  <c r="F147" i="5"/>
  <c r="K198" i="5"/>
  <c r="M198" i="5" l="1"/>
  <c r="N198" i="5" s="1"/>
  <c r="E15" i="6"/>
  <c r="G147" i="5"/>
  <c r="K15" i="6" l="1"/>
  <c r="F15" i="6"/>
  <c r="D148" i="5"/>
  <c r="C148" i="5"/>
  <c r="H147" i="5"/>
  <c r="J199" i="5"/>
  <c r="L199" i="5" s="1"/>
  <c r="K199" i="5" s="1"/>
  <c r="M199" i="5" l="1"/>
  <c r="N199" i="5" s="1"/>
  <c r="J200" i="5" s="1"/>
  <c r="L200" i="5" s="1"/>
  <c r="E148" i="5"/>
  <c r="F148" i="5" s="1"/>
  <c r="B16" i="6"/>
  <c r="G15" i="6"/>
  <c r="K200" i="5" l="1"/>
  <c r="M200" i="5" s="1"/>
  <c r="N200" i="5" s="1"/>
  <c r="G148" i="5"/>
  <c r="C16" i="6"/>
  <c r="P148" i="5"/>
  <c r="S148" i="5" s="1"/>
  <c r="J201" i="5" l="1"/>
  <c r="L201" i="5" s="1"/>
  <c r="K201" i="5"/>
  <c r="C149" i="5"/>
  <c r="D149" i="5"/>
  <c r="H148" i="5"/>
  <c r="E149" i="5" l="1"/>
  <c r="M201" i="5"/>
  <c r="N201" i="5" s="1"/>
  <c r="J202" i="5" l="1"/>
  <c r="L202" i="5" s="1"/>
  <c r="K202" i="5" s="1"/>
  <c r="P149" i="5"/>
  <c r="S149" i="5" s="1"/>
  <c r="F149" i="5"/>
  <c r="G149" i="5" l="1"/>
  <c r="M202" i="5"/>
  <c r="N202" i="5" s="1"/>
  <c r="D150" i="5" l="1"/>
  <c r="C150" i="5"/>
  <c r="H149" i="5"/>
  <c r="J203" i="5"/>
  <c r="L203" i="5" s="1"/>
  <c r="K203" i="5"/>
  <c r="M203" i="5" l="1"/>
  <c r="N203" i="5" s="1"/>
  <c r="K204" i="5" s="1"/>
  <c r="E150" i="5"/>
  <c r="F150" i="5" s="1"/>
  <c r="J204" i="5" l="1"/>
  <c r="L204" i="5" s="1"/>
  <c r="M204" i="5" s="1"/>
  <c r="N204" i="5" s="1"/>
  <c r="P150" i="5"/>
  <c r="S150" i="5" s="1"/>
  <c r="G150" i="5"/>
  <c r="K205" i="5" l="1"/>
  <c r="J205" i="5"/>
  <c r="L205" i="5" s="1"/>
  <c r="D151" i="5"/>
  <c r="C151" i="5"/>
  <c r="H150" i="5"/>
  <c r="E151" i="5" l="1"/>
  <c r="M205" i="5"/>
  <c r="N205" i="5" s="1"/>
  <c r="P151" i="5" l="1"/>
  <c r="S151" i="5" s="1"/>
  <c r="F151" i="5"/>
  <c r="K206" i="5"/>
  <c r="J206" i="5"/>
  <c r="L206" i="5" s="1"/>
  <c r="M206" i="5" l="1"/>
  <c r="N206" i="5" s="1"/>
  <c r="G151" i="5"/>
  <c r="J207" i="5" l="1"/>
  <c r="L207" i="5" s="1"/>
  <c r="J20" i="6" s="1"/>
  <c r="K207" i="5"/>
  <c r="D152" i="5"/>
  <c r="C152" i="5"/>
  <c r="H151" i="5"/>
  <c r="E152" i="5" l="1"/>
  <c r="F152" i="5" s="1"/>
  <c r="G152" i="5" s="1"/>
  <c r="M207" i="5"/>
  <c r="N207" i="5" s="1"/>
  <c r="C153" i="5" l="1"/>
  <c r="D153" i="5"/>
  <c r="H152" i="5"/>
  <c r="J208" i="5"/>
  <c r="L208" i="5" s="1"/>
  <c r="K208" i="5"/>
  <c r="P152" i="5"/>
  <c r="S152" i="5" s="1"/>
  <c r="M208" i="5" l="1"/>
  <c r="N208" i="5" s="1"/>
  <c r="E153" i="5"/>
  <c r="P153" i="5" s="1"/>
  <c r="S153" i="5" s="1"/>
  <c r="J209" i="5" l="1"/>
  <c r="L209" i="5" s="1"/>
  <c r="K209" i="5"/>
  <c r="F153" i="5"/>
  <c r="G153" i="5" s="1"/>
  <c r="D154" i="5" l="1"/>
  <c r="C154" i="5"/>
  <c r="H153" i="5"/>
  <c r="M209" i="5"/>
  <c r="N209" i="5" s="1"/>
  <c r="E154" i="5" l="1"/>
  <c r="P154" i="5" s="1"/>
  <c r="S154" i="5" s="1"/>
  <c r="J210" i="5"/>
  <c r="L210" i="5" s="1"/>
  <c r="K210" i="5" s="1"/>
  <c r="M210" i="5" l="1"/>
  <c r="N210" i="5" s="1"/>
  <c r="F154" i="5"/>
  <c r="G154" i="5" s="1"/>
  <c r="D155" i="5" l="1"/>
  <c r="C155" i="5"/>
  <c r="H154" i="5"/>
  <c r="K211" i="5"/>
  <c r="J211" i="5"/>
  <c r="L211" i="5" s="1"/>
  <c r="M211" i="5" l="1"/>
  <c r="N211" i="5" s="1"/>
  <c r="E155" i="5"/>
  <c r="P155" i="5" s="1"/>
  <c r="S155" i="5" s="1"/>
  <c r="F155" i="5" l="1"/>
  <c r="G155" i="5" s="1"/>
  <c r="C156" i="5" s="1"/>
  <c r="K212" i="5"/>
  <c r="J212" i="5"/>
  <c r="L212" i="5" s="1"/>
  <c r="H155" i="5" l="1"/>
  <c r="D156" i="5"/>
  <c r="M212" i="5"/>
  <c r="N212" i="5" s="1"/>
  <c r="E156" i="5"/>
  <c r="P156" i="5" s="1"/>
  <c r="S156" i="5" s="1"/>
  <c r="F156" i="5" l="1"/>
  <c r="G156" i="5" s="1"/>
  <c r="K213" i="5"/>
  <c r="J213" i="5"/>
  <c r="L213" i="5" s="1"/>
  <c r="M213" i="5" l="1"/>
  <c r="N213" i="5" s="1"/>
  <c r="J214" i="5" s="1"/>
  <c r="L214" i="5" s="1"/>
  <c r="C157" i="5"/>
  <c r="D157" i="5"/>
  <c r="H156" i="5"/>
  <c r="K214" i="5" l="1"/>
  <c r="M214" i="5" s="1"/>
  <c r="N214" i="5" s="1"/>
  <c r="E157" i="5"/>
  <c r="P157" i="5" s="1"/>
  <c r="S157" i="5" s="1"/>
  <c r="F157" i="5" l="1"/>
  <c r="G157" i="5" s="1"/>
  <c r="D158" i="5" s="1"/>
  <c r="J215" i="5"/>
  <c r="L215" i="5" s="1"/>
  <c r="K215" i="5"/>
  <c r="H157" i="5" l="1"/>
  <c r="C158" i="5"/>
  <c r="E158" i="5" s="1"/>
  <c r="P158" i="5" s="1"/>
  <c r="S158" i="5" s="1"/>
  <c r="M215" i="5"/>
  <c r="N215" i="5" s="1"/>
  <c r="F158" i="5" l="1"/>
  <c r="G158" i="5" s="1"/>
  <c r="D159" i="5" s="1"/>
  <c r="K216" i="5"/>
  <c r="J216" i="5"/>
  <c r="L216" i="5" s="1"/>
  <c r="H158" i="5" l="1"/>
  <c r="C159" i="5"/>
  <c r="E159" i="5" s="1"/>
  <c r="M216" i="5"/>
  <c r="N216" i="5" s="1"/>
  <c r="P159" i="5" l="1"/>
  <c r="S159" i="5" s="1"/>
  <c r="D16" i="6"/>
  <c r="I16" i="6" s="1"/>
  <c r="F159" i="5"/>
  <c r="J217" i="5"/>
  <c r="L217" i="5" s="1"/>
  <c r="K217" i="5"/>
  <c r="M217" i="5" l="1"/>
  <c r="N217" i="5" s="1"/>
  <c r="E16" i="6"/>
  <c r="G159" i="5"/>
  <c r="D160" i="5" l="1"/>
  <c r="C160" i="5"/>
  <c r="H159" i="5"/>
  <c r="K16" i="6"/>
  <c r="F16" i="6"/>
  <c r="K218" i="5"/>
  <c r="J218" i="5"/>
  <c r="L218" i="5" s="1"/>
  <c r="M218" i="5" l="1"/>
  <c r="N218" i="5" s="1"/>
  <c r="E160" i="5"/>
  <c r="G16" i="6"/>
  <c r="B17" i="6"/>
  <c r="C17" i="6" l="1"/>
  <c r="P160" i="5"/>
  <c r="S160" i="5" s="1"/>
  <c r="J219" i="5"/>
  <c r="L219" i="5" s="1"/>
  <c r="J21" i="6" s="1"/>
  <c r="K219" i="5"/>
  <c r="F160" i="5"/>
  <c r="M219" i="5" l="1"/>
  <c r="N219" i="5" s="1"/>
  <c r="J220" i="5" s="1"/>
  <c r="L220" i="5" s="1"/>
  <c r="G160" i="5"/>
  <c r="K220" i="5" l="1"/>
  <c r="M220" i="5" s="1"/>
  <c r="N220" i="5" s="1"/>
  <c r="C161" i="5"/>
  <c r="H160" i="5"/>
  <c r="D161" i="5"/>
  <c r="K221" i="5" l="1"/>
  <c r="J221" i="5"/>
  <c r="L221" i="5" s="1"/>
  <c r="M221" i="5" s="1"/>
  <c r="N221" i="5" s="1"/>
  <c r="E161" i="5"/>
  <c r="F161" i="5" s="1"/>
  <c r="G161" i="5" l="1"/>
  <c r="J222" i="5"/>
  <c r="L222" i="5" s="1"/>
  <c r="K222" i="5"/>
  <c r="P161" i="5"/>
  <c r="S161" i="5" s="1"/>
  <c r="M222" i="5" l="1"/>
  <c r="N222" i="5" s="1"/>
  <c r="D162" i="5"/>
  <c r="C162" i="5"/>
  <c r="H161" i="5"/>
  <c r="E162" i="5" l="1"/>
  <c r="F162" i="5" s="1"/>
  <c r="G162" i="5" s="1"/>
  <c r="K223" i="5"/>
  <c r="J223" i="5"/>
  <c r="L223" i="5" s="1"/>
  <c r="D163" i="5" l="1"/>
  <c r="C163" i="5"/>
  <c r="H162" i="5"/>
  <c r="M223" i="5"/>
  <c r="N223" i="5" s="1"/>
  <c r="P162" i="5"/>
  <c r="S162" i="5" s="1"/>
  <c r="J224" i="5" l="1"/>
  <c r="L224" i="5" s="1"/>
  <c r="K224" i="5"/>
  <c r="E163" i="5"/>
  <c r="F163" i="5" s="1"/>
  <c r="G163" i="5" s="1"/>
  <c r="H163" i="5" l="1"/>
  <c r="D164" i="5"/>
  <c r="C164" i="5"/>
  <c r="P163" i="5"/>
  <c r="S163" i="5" s="1"/>
  <c r="M224" i="5"/>
  <c r="N224" i="5" s="1"/>
  <c r="J225" i="5" l="1"/>
  <c r="L225" i="5" s="1"/>
  <c r="K225" i="5"/>
  <c r="E164" i="5"/>
  <c r="P164" i="5" l="1"/>
  <c r="S164" i="5" s="1"/>
  <c r="M225" i="5"/>
  <c r="N225" i="5" s="1"/>
  <c r="F164" i="5"/>
  <c r="G164" i="5" s="1"/>
  <c r="J226" i="5" l="1"/>
  <c r="L226" i="5" s="1"/>
  <c r="K226" i="5"/>
  <c r="C165" i="5"/>
  <c r="D165" i="5"/>
  <c r="H164" i="5"/>
  <c r="E165" i="5" l="1"/>
  <c r="P165" i="5" s="1"/>
  <c r="S165" i="5" s="1"/>
  <c r="M226" i="5"/>
  <c r="N226" i="5" s="1"/>
  <c r="K227" i="5" l="1"/>
  <c r="J227" i="5"/>
  <c r="L227" i="5" s="1"/>
  <c r="F165" i="5"/>
  <c r="G165" i="5" s="1"/>
  <c r="D166" i="5" l="1"/>
  <c r="C166" i="5"/>
  <c r="H165" i="5"/>
  <c r="M227" i="5"/>
  <c r="N227" i="5" s="1"/>
  <c r="K228" i="5" l="1"/>
  <c r="J228" i="5"/>
  <c r="L228" i="5" s="1"/>
  <c r="E166" i="5"/>
  <c r="P166" i="5" s="1"/>
  <c r="S166" i="5" s="1"/>
  <c r="F166" i="5" l="1"/>
  <c r="G166" i="5" s="1"/>
  <c r="C167" i="5" s="1"/>
  <c r="M228" i="5"/>
  <c r="N228" i="5" s="1"/>
  <c r="H166" i="5" l="1"/>
  <c r="D167" i="5"/>
  <c r="E167" i="5"/>
  <c r="P167" i="5" s="1"/>
  <c r="S167" i="5" s="1"/>
  <c r="K229" i="5"/>
  <c r="J229" i="5"/>
  <c r="L229" i="5" s="1"/>
  <c r="F167" i="5" l="1"/>
  <c r="G167" i="5" s="1"/>
  <c r="M229" i="5"/>
  <c r="N229" i="5" s="1"/>
  <c r="D168" i="5" l="1"/>
  <c r="C168" i="5"/>
  <c r="H167" i="5"/>
  <c r="K230" i="5"/>
  <c r="J230" i="5"/>
  <c r="L230" i="5" s="1"/>
  <c r="M230" i="5" l="1"/>
  <c r="N230" i="5" s="1"/>
  <c r="E168" i="5"/>
  <c r="P168" i="5" s="1"/>
  <c r="S168" i="5" s="1"/>
  <c r="F168" i="5" l="1"/>
  <c r="G168" i="5" s="1"/>
  <c r="K231" i="5"/>
  <c r="J231" i="5"/>
  <c r="L231" i="5" s="1"/>
  <c r="J22" i="6" s="1"/>
  <c r="C169" i="5" l="1"/>
  <c r="D169" i="5"/>
  <c r="H168" i="5"/>
  <c r="M231" i="5"/>
  <c r="N231" i="5" s="1"/>
  <c r="K232" i="5" l="1"/>
  <c r="J232" i="5"/>
  <c r="L232" i="5" s="1"/>
  <c r="E169" i="5"/>
  <c r="P169" i="5" s="1"/>
  <c r="S169" i="5" s="1"/>
  <c r="F169" i="5" l="1"/>
  <c r="G169" i="5" s="1"/>
  <c r="D170" i="5" s="1"/>
  <c r="M232" i="5"/>
  <c r="N232" i="5" s="1"/>
  <c r="H169" i="5" l="1"/>
  <c r="C170" i="5"/>
  <c r="J233" i="5"/>
  <c r="L233" i="5" s="1"/>
  <c r="K233" i="5"/>
  <c r="E170" i="5" l="1"/>
  <c r="M233" i="5"/>
  <c r="N233" i="5" s="1"/>
  <c r="P170" i="5" l="1"/>
  <c r="S170" i="5" s="1"/>
  <c r="F170" i="5"/>
  <c r="G170" i="5" s="1"/>
  <c r="K234" i="5"/>
  <c r="J234" i="5"/>
  <c r="L234" i="5" s="1"/>
  <c r="H170" i="5" l="1"/>
  <c r="D171" i="5"/>
  <c r="C171" i="5"/>
  <c r="E171" i="5" s="1"/>
  <c r="D17" i="6" s="1"/>
  <c r="I17" i="6" s="1"/>
  <c r="M234" i="5"/>
  <c r="N234" i="5" s="1"/>
  <c r="P171" i="5" l="1"/>
  <c r="S171" i="5" s="1"/>
  <c r="F171" i="5"/>
  <c r="K235" i="5"/>
  <c r="J235" i="5"/>
  <c r="L235" i="5" s="1"/>
  <c r="G171" i="5" l="1"/>
  <c r="E17" i="6"/>
  <c r="M235" i="5"/>
  <c r="N235" i="5" s="1"/>
  <c r="K236" i="5" s="1"/>
  <c r="C172" i="5" l="1"/>
  <c r="E172" i="5" s="1"/>
  <c r="P172" i="5" s="1"/>
  <c r="S172" i="5" s="1"/>
  <c r="H171" i="5"/>
  <c r="D172" i="5"/>
  <c r="F172" i="5" s="1"/>
  <c r="G172" i="5" s="1"/>
  <c r="J236" i="5"/>
  <c r="L236" i="5" s="1"/>
  <c r="M236" i="5" s="1"/>
  <c r="N236" i="5" s="1"/>
  <c r="F17" i="6"/>
  <c r="K17" i="6"/>
  <c r="B18" i="6" l="1"/>
  <c r="C18" i="6" s="1"/>
  <c r="G17" i="6"/>
  <c r="D173" i="5"/>
  <c r="H172" i="5"/>
  <c r="C173" i="5"/>
  <c r="E173" i="5" s="1"/>
  <c r="P173" i="5" s="1"/>
  <c r="S173" i="5" s="1"/>
  <c r="J237" i="5"/>
  <c r="L237" i="5" s="1"/>
  <c r="K237" i="5"/>
  <c r="F173" i="5" l="1"/>
  <c r="G173" i="5" s="1"/>
  <c r="M237" i="5"/>
  <c r="N237" i="5" s="1"/>
  <c r="D174" i="5" l="1"/>
  <c r="C174" i="5"/>
  <c r="H173" i="5"/>
  <c r="K238" i="5"/>
  <c r="J238" i="5"/>
  <c r="L238" i="5" s="1"/>
  <c r="M238" i="5" l="1"/>
  <c r="N238" i="5" s="1"/>
  <c r="E174" i="5"/>
  <c r="P174" i="5" l="1"/>
  <c r="S174" i="5" s="1"/>
  <c r="K239" i="5"/>
  <c r="J239" i="5"/>
  <c r="L239" i="5" s="1"/>
  <c r="F174" i="5"/>
  <c r="M239" i="5" l="1"/>
  <c r="N239" i="5" s="1"/>
  <c r="G174" i="5"/>
  <c r="D175" i="5" l="1"/>
  <c r="C175" i="5"/>
  <c r="H174" i="5"/>
  <c r="K240" i="5"/>
  <c r="J240" i="5"/>
  <c r="L240" i="5" s="1"/>
  <c r="M240" i="5" l="1"/>
  <c r="N240" i="5" s="1"/>
  <c r="E175" i="5"/>
  <c r="P175" i="5" l="1"/>
  <c r="S175" i="5" s="1"/>
  <c r="K241" i="5"/>
  <c r="J241" i="5"/>
  <c r="L241" i="5" s="1"/>
  <c r="F175" i="5"/>
  <c r="M241" i="5" l="1"/>
  <c r="N241" i="5" s="1"/>
  <c r="K242" i="5" s="1"/>
  <c r="G175" i="5"/>
  <c r="J242" i="5" l="1"/>
  <c r="L242" i="5" s="1"/>
  <c r="M242" i="5" s="1"/>
  <c r="N242" i="5" s="1"/>
  <c r="D176" i="5"/>
  <c r="C176" i="5"/>
  <c r="H175" i="5"/>
  <c r="E176" i="5" l="1"/>
  <c r="K243" i="5"/>
  <c r="J243" i="5"/>
  <c r="L243" i="5" s="1"/>
  <c r="J23" i="6" s="1"/>
  <c r="M243" i="5" l="1"/>
  <c r="N243" i="5" s="1"/>
  <c r="P176" i="5"/>
  <c r="S176" i="5" s="1"/>
  <c r="F176" i="5"/>
  <c r="G176" i="5" s="1"/>
  <c r="C177" i="5" l="1"/>
  <c r="H176" i="5"/>
  <c r="D177" i="5"/>
  <c r="K244" i="5"/>
  <c r="J244" i="5"/>
  <c r="L244" i="5" s="1"/>
  <c r="E177" i="5" l="1"/>
  <c r="P177" i="5" s="1"/>
  <c r="S177" i="5" s="1"/>
  <c r="M244" i="5"/>
  <c r="N244" i="5" s="1"/>
  <c r="F177" i="5" l="1"/>
  <c r="G177" i="5" s="1"/>
  <c r="K245" i="5"/>
  <c r="J245" i="5"/>
  <c r="L245" i="5" s="1"/>
  <c r="D178" i="5" l="1"/>
  <c r="C178" i="5"/>
  <c r="H177" i="5"/>
  <c r="M245" i="5"/>
  <c r="N245" i="5" s="1"/>
  <c r="K246" i="5" l="1"/>
  <c r="J246" i="5"/>
  <c r="L246" i="5" s="1"/>
  <c r="E178" i="5"/>
  <c r="P178" i="5" s="1"/>
  <c r="S178" i="5" s="1"/>
  <c r="F178" i="5" l="1"/>
  <c r="G178" i="5" s="1"/>
  <c r="D179" i="5" s="1"/>
  <c r="M246" i="5"/>
  <c r="N246" i="5" s="1"/>
  <c r="H178" i="5" l="1"/>
  <c r="C179" i="5"/>
  <c r="E179" i="5" s="1"/>
  <c r="P179" i="5" s="1"/>
  <c r="S179" i="5" s="1"/>
  <c r="J247" i="5"/>
  <c r="L247" i="5" s="1"/>
  <c r="K247" i="5"/>
  <c r="F179" i="5" l="1"/>
  <c r="G179" i="5" s="1"/>
  <c r="M247" i="5"/>
  <c r="N247" i="5" s="1"/>
  <c r="K248" i="5" l="1"/>
  <c r="J248" i="5"/>
  <c r="L248" i="5" s="1"/>
  <c r="D180" i="5"/>
  <c r="C180" i="5"/>
  <c r="H179" i="5"/>
  <c r="E180" i="5" l="1"/>
  <c r="P180" i="5" s="1"/>
  <c r="S180" i="5" s="1"/>
  <c r="M248" i="5"/>
  <c r="N248" i="5" s="1"/>
  <c r="K249" i="5" l="1"/>
  <c r="J249" i="5"/>
  <c r="L249" i="5" s="1"/>
  <c r="F180" i="5"/>
  <c r="G180" i="5" s="1"/>
  <c r="M249" i="5" l="1"/>
  <c r="N249" i="5" s="1"/>
  <c r="C181" i="5"/>
  <c r="D181" i="5"/>
  <c r="H180" i="5"/>
  <c r="E181" i="5" l="1"/>
  <c r="P181" i="5" s="1"/>
  <c r="S181" i="5" s="1"/>
  <c r="K250" i="5"/>
  <c r="J250" i="5"/>
  <c r="L250" i="5" s="1"/>
  <c r="F181" i="5" l="1"/>
  <c r="G181" i="5" s="1"/>
  <c r="M250" i="5"/>
  <c r="N250" i="5" s="1"/>
  <c r="D182" i="5" l="1"/>
  <c r="C182" i="5"/>
  <c r="H181" i="5"/>
  <c r="J251" i="5"/>
  <c r="L251" i="5" s="1"/>
  <c r="K251" i="5"/>
  <c r="M251" i="5" l="1"/>
  <c r="N251" i="5" s="1"/>
  <c r="K252" i="5" s="1"/>
  <c r="E182" i="5"/>
  <c r="P182" i="5" s="1"/>
  <c r="S182" i="5" s="1"/>
  <c r="J252" i="5" l="1"/>
  <c r="L252" i="5" s="1"/>
  <c r="M252" i="5" s="1"/>
  <c r="N252" i="5" s="1"/>
  <c r="F182" i="5"/>
  <c r="G182" i="5" s="1"/>
  <c r="C183" i="5" s="1"/>
  <c r="H182" i="5" l="1"/>
  <c r="D183" i="5"/>
  <c r="J253" i="5"/>
  <c r="L253" i="5" s="1"/>
  <c r="K253" i="5"/>
  <c r="E183" i="5"/>
  <c r="F183" i="5" l="1"/>
  <c r="G183" i="5" s="1"/>
  <c r="H183" i="5" s="1"/>
  <c r="E18" i="6"/>
  <c r="K18" i="6" s="1"/>
  <c r="P183" i="5"/>
  <c r="S183" i="5" s="1"/>
  <c r="D18" i="6"/>
  <c r="I18" i="6" s="1"/>
  <c r="M253" i="5"/>
  <c r="N253" i="5" s="1"/>
  <c r="C184" i="5" l="1"/>
  <c r="E184" i="5" s="1"/>
  <c r="F18" i="6"/>
  <c r="B19" i="6" s="1"/>
  <c r="D184" i="5"/>
  <c r="J254" i="5"/>
  <c r="L254" i="5" s="1"/>
  <c r="K254" i="5"/>
  <c r="F184" i="5" l="1"/>
  <c r="G184" i="5" s="1"/>
  <c r="G18" i="6"/>
  <c r="M254" i="5"/>
  <c r="N254" i="5" s="1"/>
  <c r="J255" i="5" s="1"/>
  <c r="L255" i="5" s="1"/>
  <c r="J24" i="6" s="1"/>
  <c r="P184" i="5"/>
  <c r="S184" i="5" s="1"/>
  <c r="C19" i="6"/>
  <c r="K255" i="5" l="1"/>
  <c r="M255" i="5" s="1"/>
  <c r="N255" i="5" s="1"/>
  <c r="C185" i="5"/>
  <c r="D185" i="5"/>
  <c r="H184" i="5"/>
  <c r="E185" i="5" l="1"/>
  <c r="F185" i="5" s="1"/>
  <c r="K256" i="5"/>
  <c r="J256" i="5"/>
  <c r="L256" i="5" s="1"/>
  <c r="G185" i="5" l="1"/>
  <c r="M256" i="5"/>
  <c r="N256" i="5" s="1"/>
  <c r="P185" i="5"/>
  <c r="S185" i="5" s="1"/>
  <c r="J257" i="5" l="1"/>
  <c r="L257" i="5" s="1"/>
  <c r="K257" i="5"/>
  <c r="D186" i="5"/>
  <c r="C186" i="5"/>
  <c r="H185" i="5"/>
  <c r="E186" i="5" l="1"/>
  <c r="M257" i="5"/>
  <c r="N257" i="5" s="1"/>
  <c r="J258" i="5" l="1"/>
  <c r="L258" i="5" s="1"/>
  <c r="K258" i="5"/>
  <c r="P186" i="5"/>
  <c r="S186" i="5" s="1"/>
  <c r="F186" i="5"/>
  <c r="G186" i="5" l="1"/>
  <c r="M258" i="5"/>
  <c r="N258" i="5" s="1"/>
  <c r="D187" i="5" l="1"/>
  <c r="C187" i="5"/>
  <c r="H186" i="5"/>
  <c r="K259" i="5"/>
  <c r="J259" i="5"/>
  <c r="L259" i="5" s="1"/>
  <c r="M259" i="5" l="1"/>
  <c r="N259" i="5" s="1"/>
  <c r="E187" i="5"/>
  <c r="P187" i="5" l="1"/>
  <c r="S187" i="5" s="1"/>
  <c r="K260" i="5"/>
  <c r="J260" i="5"/>
  <c r="L260" i="5" s="1"/>
  <c r="F187" i="5"/>
  <c r="M260" i="5" l="1"/>
  <c r="N260" i="5" s="1"/>
  <c r="K261" i="5" s="1"/>
  <c r="G187" i="5"/>
  <c r="J261" i="5" l="1"/>
  <c r="L261" i="5" s="1"/>
  <c r="M261" i="5" s="1"/>
  <c r="N261" i="5" s="1"/>
  <c r="D188" i="5"/>
  <c r="C188" i="5"/>
  <c r="H187" i="5"/>
  <c r="E188" i="5" l="1"/>
  <c r="F188" i="5" s="1"/>
  <c r="G188" i="5" s="1"/>
  <c r="K262" i="5"/>
  <c r="J262" i="5"/>
  <c r="L262" i="5" s="1"/>
  <c r="C189" i="5" l="1"/>
  <c r="D189" i="5"/>
  <c r="H188" i="5"/>
  <c r="M262" i="5"/>
  <c r="N262" i="5" s="1"/>
  <c r="P188" i="5"/>
  <c r="S188" i="5" s="1"/>
  <c r="J263" i="5" l="1"/>
  <c r="L263" i="5" s="1"/>
  <c r="K263" i="5"/>
  <c r="E189" i="5"/>
  <c r="P189" i="5" s="1"/>
  <c r="S189" i="5" s="1"/>
  <c r="M263" i="5" l="1"/>
  <c r="N263" i="5" s="1"/>
  <c r="F189" i="5"/>
  <c r="G189" i="5" s="1"/>
  <c r="D190" i="5" l="1"/>
  <c r="C190" i="5"/>
  <c r="H189" i="5"/>
  <c r="K264" i="5"/>
  <c r="J264" i="5"/>
  <c r="L264" i="5" s="1"/>
  <c r="M264" i="5" l="1"/>
  <c r="N264" i="5" s="1"/>
  <c r="E190" i="5"/>
  <c r="P190" i="5" s="1"/>
  <c r="S190" i="5" s="1"/>
  <c r="F190" i="5" l="1"/>
  <c r="G190" i="5" s="1"/>
  <c r="K265" i="5"/>
  <c r="J265" i="5"/>
  <c r="L265" i="5" s="1"/>
  <c r="M265" i="5" l="1"/>
  <c r="N265" i="5" s="1"/>
  <c r="D191" i="5"/>
  <c r="C191" i="5"/>
  <c r="H190" i="5"/>
  <c r="E191" i="5" l="1"/>
  <c r="P191" i="5" s="1"/>
  <c r="S191" i="5" s="1"/>
  <c r="J266" i="5"/>
  <c r="L266" i="5" s="1"/>
  <c r="K266" i="5"/>
  <c r="F191" i="5" l="1"/>
  <c r="G191" i="5" s="1"/>
  <c r="M266" i="5"/>
  <c r="N266" i="5" s="1"/>
  <c r="K267" i="5" l="1"/>
  <c r="J267" i="5"/>
  <c r="L267" i="5" s="1"/>
  <c r="J25" i="6" s="1"/>
  <c r="D192" i="5"/>
  <c r="C192" i="5"/>
  <c r="H191" i="5"/>
  <c r="E192" i="5" l="1"/>
  <c r="P192" i="5" s="1"/>
  <c r="S192" i="5" s="1"/>
  <c r="M267" i="5"/>
  <c r="N267" i="5" s="1"/>
  <c r="F192" i="5" l="1"/>
  <c r="G192" i="5" s="1"/>
  <c r="D193" i="5" s="1"/>
  <c r="K268" i="5"/>
  <c r="J268" i="5"/>
  <c r="L268" i="5" s="1"/>
  <c r="H192" i="5" l="1"/>
  <c r="C193" i="5"/>
  <c r="E193" i="5" s="1"/>
  <c r="P193" i="5" s="1"/>
  <c r="S193" i="5" s="1"/>
  <c r="M268" i="5"/>
  <c r="N268" i="5" s="1"/>
  <c r="K269" i="5" s="1"/>
  <c r="J269" i="5" l="1"/>
  <c r="L269" i="5" s="1"/>
  <c r="M269" i="5" s="1"/>
  <c r="N269" i="5" s="1"/>
  <c r="F193" i="5"/>
  <c r="G193" i="5" s="1"/>
  <c r="J270" i="5" l="1"/>
  <c r="L270" i="5" s="1"/>
  <c r="K270" i="5"/>
  <c r="D194" i="5"/>
  <c r="C194" i="5"/>
  <c r="H193" i="5"/>
  <c r="E194" i="5" l="1"/>
  <c r="P194" i="5" s="1"/>
  <c r="S194" i="5" s="1"/>
  <c r="M270" i="5"/>
  <c r="N270" i="5" s="1"/>
  <c r="K271" i="5" l="1"/>
  <c r="J271" i="5"/>
  <c r="L271" i="5" s="1"/>
  <c r="F194" i="5"/>
  <c r="G194" i="5" s="1"/>
  <c r="D195" i="5" l="1"/>
  <c r="C195" i="5"/>
  <c r="H194" i="5"/>
  <c r="M271" i="5"/>
  <c r="N271" i="5" s="1"/>
  <c r="K272" i="5" l="1"/>
  <c r="J272" i="5"/>
  <c r="L272" i="5" s="1"/>
  <c r="E195" i="5"/>
  <c r="P195" i="5" l="1"/>
  <c r="S195" i="5" s="1"/>
  <c r="D19" i="6"/>
  <c r="I19" i="6" s="1"/>
  <c r="F195" i="5"/>
  <c r="M272" i="5"/>
  <c r="N272" i="5" s="1"/>
  <c r="K273" i="5" l="1"/>
  <c r="J273" i="5"/>
  <c r="L273" i="5" s="1"/>
  <c r="E19" i="6"/>
  <c r="G195" i="5"/>
  <c r="H195" i="5" l="1"/>
  <c r="D196" i="5"/>
  <c r="C196" i="5"/>
  <c r="K19" i="6"/>
  <c r="F19" i="6"/>
  <c r="M273" i="5"/>
  <c r="N273" i="5" s="1"/>
  <c r="B20" i="6" l="1"/>
  <c r="G19" i="6"/>
  <c r="K274" i="5"/>
  <c r="J274" i="5"/>
  <c r="L274" i="5" s="1"/>
  <c r="E196" i="5"/>
  <c r="F196" i="5" s="1"/>
  <c r="M274" i="5" l="1"/>
  <c r="N274" i="5" s="1"/>
  <c r="G196" i="5"/>
  <c r="P196" i="5"/>
  <c r="S196" i="5" s="1"/>
  <c r="C20" i="6"/>
  <c r="C197" i="5" l="1"/>
  <c r="D197" i="5"/>
  <c r="H196" i="5"/>
  <c r="K275" i="5"/>
  <c r="J275" i="5"/>
  <c r="L275" i="5" s="1"/>
  <c r="M275" i="5" l="1"/>
  <c r="N275" i="5" s="1"/>
  <c r="E197" i="5"/>
  <c r="P197" i="5" l="1"/>
  <c r="S197" i="5" s="1"/>
  <c r="F197" i="5"/>
  <c r="J276" i="5"/>
  <c r="L276" i="5" s="1"/>
  <c r="K276" i="5"/>
  <c r="G197" i="5" l="1"/>
  <c r="M276" i="5"/>
  <c r="N276" i="5" s="1"/>
  <c r="K277" i="5" l="1"/>
  <c r="J277" i="5"/>
  <c r="L277" i="5" s="1"/>
  <c r="D198" i="5"/>
  <c r="C198" i="5"/>
  <c r="H197" i="5"/>
  <c r="E198" i="5" l="1"/>
  <c r="M277" i="5"/>
  <c r="N277" i="5" s="1"/>
  <c r="P198" i="5" l="1"/>
  <c r="S198" i="5" s="1"/>
  <c r="F198" i="5"/>
  <c r="K278" i="5"/>
  <c r="J278" i="5"/>
  <c r="L278" i="5" s="1"/>
  <c r="M278" i="5" l="1"/>
  <c r="N278" i="5" s="1"/>
  <c r="G198" i="5"/>
  <c r="D199" i="5" l="1"/>
  <c r="C199" i="5"/>
  <c r="H198" i="5"/>
  <c r="K279" i="5"/>
  <c r="J279" i="5"/>
  <c r="L279" i="5" s="1"/>
  <c r="J26" i="6" s="1"/>
  <c r="M279" i="5" l="1"/>
  <c r="N279" i="5" s="1"/>
  <c r="E199" i="5"/>
  <c r="F199" i="5" s="1"/>
  <c r="G199" i="5" l="1"/>
  <c r="P199" i="5"/>
  <c r="S199" i="5" s="1"/>
  <c r="K280" i="5"/>
  <c r="J280" i="5"/>
  <c r="L280" i="5" s="1"/>
  <c r="M280" i="5" l="1"/>
  <c r="N280" i="5" s="1"/>
  <c r="J281" i="5" s="1"/>
  <c r="L281" i="5" s="1"/>
  <c r="D200" i="5"/>
  <c r="C200" i="5"/>
  <c r="H199" i="5"/>
  <c r="K281" i="5" l="1"/>
  <c r="M281" i="5" s="1"/>
  <c r="N281" i="5" s="1"/>
  <c r="K282" i="5" s="1"/>
  <c r="E200" i="5"/>
  <c r="J282" i="5" l="1"/>
  <c r="L282" i="5" s="1"/>
  <c r="M282" i="5" s="1"/>
  <c r="N282" i="5" s="1"/>
  <c r="P200" i="5"/>
  <c r="S200" i="5" s="1"/>
  <c r="F200" i="5"/>
  <c r="G200" i="5" s="1"/>
  <c r="J283" i="5" l="1"/>
  <c r="L283" i="5" s="1"/>
  <c r="K283" i="5"/>
  <c r="C201" i="5"/>
  <c r="D201" i="5"/>
  <c r="H200" i="5"/>
  <c r="M283" i="5" l="1"/>
  <c r="N283" i="5" s="1"/>
  <c r="K284" i="5" s="1"/>
  <c r="E201" i="5"/>
  <c r="P201" i="5" s="1"/>
  <c r="S201" i="5" s="1"/>
  <c r="J284" i="5" l="1"/>
  <c r="L284" i="5" s="1"/>
  <c r="M284" i="5" s="1"/>
  <c r="N284" i="5" s="1"/>
  <c r="F201" i="5"/>
  <c r="G201" i="5" s="1"/>
  <c r="D202" i="5" l="1"/>
  <c r="C202" i="5"/>
  <c r="H201" i="5"/>
  <c r="J285" i="5"/>
  <c r="L285" i="5" s="1"/>
  <c r="K285" i="5"/>
  <c r="E202" i="5" l="1"/>
  <c r="P202" i="5" s="1"/>
  <c r="S202" i="5" s="1"/>
  <c r="M285" i="5"/>
  <c r="N285" i="5" s="1"/>
  <c r="J286" i="5" l="1"/>
  <c r="L286" i="5" s="1"/>
  <c r="K286" i="5"/>
  <c r="F202" i="5"/>
  <c r="G202" i="5" s="1"/>
  <c r="M286" i="5" l="1"/>
  <c r="N286" i="5" s="1"/>
  <c r="D203" i="5"/>
  <c r="C203" i="5"/>
  <c r="H202" i="5"/>
  <c r="E203" i="5" l="1"/>
  <c r="P203" i="5" s="1"/>
  <c r="S203" i="5" s="1"/>
  <c r="K287" i="5"/>
  <c r="J287" i="5"/>
  <c r="L287" i="5" s="1"/>
  <c r="M287" i="5" l="1"/>
  <c r="N287" i="5" s="1"/>
  <c r="F203" i="5"/>
  <c r="G203" i="5" s="1"/>
  <c r="D204" i="5" l="1"/>
  <c r="C204" i="5"/>
  <c r="H203" i="5"/>
  <c r="J288" i="5"/>
  <c r="L288" i="5" s="1"/>
  <c r="K288" i="5"/>
  <c r="E204" i="5" l="1"/>
  <c r="P204" i="5" s="1"/>
  <c r="S204" i="5" s="1"/>
  <c r="M288" i="5"/>
  <c r="N288" i="5" s="1"/>
  <c r="K289" i="5" l="1"/>
  <c r="J289" i="5"/>
  <c r="L289" i="5" s="1"/>
  <c r="F204" i="5"/>
  <c r="G204" i="5" s="1"/>
  <c r="C205" i="5" l="1"/>
  <c r="D205" i="5"/>
  <c r="H204" i="5"/>
  <c r="M289" i="5"/>
  <c r="N289" i="5" s="1"/>
  <c r="K290" i="5" l="1"/>
  <c r="J290" i="5"/>
  <c r="L290" i="5" s="1"/>
  <c r="E205" i="5"/>
  <c r="P205" i="5" s="1"/>
  <c r="S205" i="5" s="1"/>
  <c r="M290" i="5" l="1"/>
  <c r="N290" i="5" s="1"/>
  <c r="F205" i="5"/>
  <c r="G205" i="5" s="1"/>
  <c r="K291" i="5" l="1"/>
  <c r="J291" i="5"/>
  <c r="L291" i="5" s="1"/>
  <c r="J27" i="6" s="1"/>
  <c r="D206" i="5"/>
  <c r="C206" i="5"/>
  <c r="H205" i="5"/>
  <c r="E206" i="5" l="1"/>
  <c r="P206" i="5" s="1"/>
  <c r="S206" i="5" s="1"/>
  <c r="M291" i="5"/>
  <c r="N291" i="5" s="1"/>
  <c r="K292" i="5" l="1"/>
  <c r="J292" i="5"/>
  <c r="L292" i="5" s="1"/>
  <c r="F206" i="5"/>
  <c r="G206" i="5" s="1"/>
  <c r="D207" i="5" l="1"/>
  <c r="C207" i="5"/>
  <c r="H206" i="5"/>
  <c r="M292" i="5"/>
  <c r="N292" i="5" s="1"/>
  <c r="K293" i="5" l="1"/>
  <c r="J293" i="5"/>
  <c r="L293" i="5" s="1"/>
  <c r="E207" i="5"/>
  <c r="P207" i="5" l="1"/>
  <c r="S207" i="5" s="1"/>
  <c r="D20" i="6"/>
  <c r="I20" i="6" s="1"/>
  <c r="F207" i="5"/>
  <c r="M293" i="5"/>
  <c r="N293" i="5" s="1"/>
  <c r="E20" i="6" l="1"/>
  <c r="G207" i="5"/>
  <c r="J294" i="5"/>
  <c r="L294" i="5" s="1"/>
  <c r="K294" i="5"/>
  <c r="M294" i="5" l="1"/>
  <c r="N294" i="5" s="1"/>
  <c r="D208" i="5"/>
  <c r="C208" i="5"/>
  <c r="H207" i="5"/>
  <c r="K20" i="6"/>
  <c r="F20" i="6"/>
  <c r="G20" i="6" l="1"/>
  <c r="B21" i="6"/>
  <c r="E208" i="5"/>
  <c r="J295" i="5"/>
  <c r="L295" i="5" s="1"/>
  <c r="K295" i="5"/>
  <c r="M295" i="5" l="1"/>
  <c r="N295" i="5" s="1"/>
  <c r="J296" i="5" s="1"/>
  <c r="L296" i="5" s="1"/>
  <c r="P208" i="5"/>
  <c r="S208" i="5" s="1"/>
  <c r="C21" i="6"/>
  <c r="F208" i="5"/>
  <c r="K296" i="5" l="1"/>
  <c r="M296" i="5" s="1"/>
  <c r="N296" i="5" s="1"/>
  <c r="G208" i="5"/>
  <c r="K297" i="5" l="1"/>
  <c r="J297" i="5"/>
  <c r="L297" i="5" s="1"/>
  <c r="C209" i="5"/>
  <c r="H208" i="5"/>
  <c r="D209" i="5"/>
  <c r="E209" i="5" l="1"/>
  <c r="F209" i="5" s="1"/>
  <c r="M297" i="5"/>
  <c r="N297" i="5" s="1"/>
  <c r="G209" i="5" l="1"/>
  <c r="K298" i="5"/>
  <c r="J298" i="5"/>
  <c r="L298" i="5" s="1"/>
  <c r="P209" i="5"/>
  <c r="S209" i="5" s="1"/>
  <c r="M298" i="5" l="1"/>
  <c r="N298" i="5" s="1"/>
  <c r="D210" i="5"/>
  <c r="C210" i="5"/>
  <c r="H209" i="5"/>
  <c r="E210" i="5" l="1"/>
  <c r="F210" i="5" s="1"/>
  <c r="K299" i="5"/>
  <c r="J299" i="5"/>
  <c r="L299" i="5" s="1"/>
  <c r="G210" i="5" l="1"/>
  <c r="M299" i="5"/>
  <c r="N299" i="5" s="1"/>
  <c r="P210" i="5"/>
  <c r="S210" i="5" s="1"/>
  <c r="J300" i="5" l="1"/>
  <c r="L300" i="5" s="1"/>
  <c r="K300" i="5"/>
  <c r="D211" i="5"/>
  <c r="C211" i="5"/>
  <c r="H210" i="5"/>
  <c r="M300" i="5" l="1"/>
  <c r="N300" i="5" s="1"/>
  <c r="K301" i="5" s="1"/>
  <c r="E211" i="5"/>
  <c r="F211" i="5" s="1"/>
  <c r="J301" i="5" l="1"/>
  <c r="L301" i="5" s="1"/>
  <c r="M301" i="5" s="1"/>
  <c r="N301" i="5" s="1"/>
  <c r="P211" i="5"/>
  <c r="S211" i="5" s="1"/>
  <c r="G211" i="5"/>
  <c r="J302" i="5" l="1"/>
  <c r="L302" i="5" s="1"/>
  <c r="K302" i="5"/>
  <c r="D212" i="5"/>
  <c r="C212" i="5"/>
  <c r="H211" i="5"/>
  <c r="M302" i="5" l="1"/>
  <c r="N302" i="5" s="1"/>
  <c r="K303" i="5" s="1"/>
  <c r="E212" i="5"/>
  <c r="F212" i="5" s="1"/>
  <c r="G212" i="5" s="1"/>
  <c r="J303" i="5" l="1"/>
  <c r="L303" i="5" s="1"/>
  <c r="J28" i="6" s="1"/>
  <c r="C213" i="5"/>
  <c r="D213" i="5"/>
  <c r="H212" i="5"/>
  <c r="P212" i="5"/>
  <c r="S212" i="5" s="1"/>
  <c r="M303" i="5" l="1"/>
  <c r="N303" i="5" s="1"/>
  <c r="K304" i="5" s="1"/>
  <c r="E213" i="5"/>
  <c r="P213" i="5" s="1"/>
  <c r="S213" i="5" s="1"/>
  <c r="J304" i="5" l="1"/>
  <c r="L304" i="5" s="1"/>
  <c r="M304" i="5" s="1"/>
  <c r="N304" i="5" s="1"/>
  <c r="F213" i="5"/>
  <c r="G213" i="5" s="1"/>
  <c r="J305" i="5" l="1"/>
  <c r="L305" i="5" s="1"/>
  <c r="K305" i="5"/>
  <c r="D214" i="5"/>
  <c r="C214" i="5"/>
  <c r="H213" i="5"/>
  <c r="E214" i="5" l="1"/>
  <c r="P214" i="5" s="1"/>
  <c r="S214" i="5" s="1"/>
  <c r="M305" i="5"/>
  <c r="N305" i="5" s="1"/>
  <c r="J306" i="5" l="1"/>
  <c r="L306" i="5" s="1"/>
  <c r="K306" i="5"/>
  <c r="F214" i="5"/>
  <c r="G214" i="5" s="1"/>
  <c r="M306" i="5" l="1"/>
  <c r="N306" i="5" s="1"/>
  <c r="K307" i="5" s="1"/>
  <c r="D215" i="5"/>
  <c r="H214" i="5"/>
  <c r="C215" i="5"/>
  <c r="J307" i="5" l="1"/>
  <c r="L307" i="5" s="1"/>
  <c r="M307" i="5" s="1"/>
  <c r="N307" i="5" s="1"/>
  <c r="E215" i="5"/>
  <c r="P215" i="5" s="1"/>
  <c r="S215" i="5" s="1"/>
  <c r="J308" i="5" l="1"/>
  <c r="L308" i="5" s="1"/>
  <c r="K308" i="5"/>
  <c r="F215" i="5"/>
  <c r="G215" i="5" s="1"/>
  <c r="D216" i="5" l="1"/>
  <c r="C216" i="5"/>
  <c r="H215" i="5"/>
  <c r="M308" i="5"/>
  <c r="N308" i="5" s="1"/>
  <c r="K309" i="5" l="1"/>
  <c r="J309" i="5"/>
  <c r="L309" i="5" s="1"/>
  <c r="E216" i="5"/>
  <c r="P216" i="5" s="1"/>
  <c r="S216" i="5" s="1"/>
  <c r="F216" i="5" l="1"/>
  <c r="G216" i="5" s="1"/>
  <c r="M309" i="5"/>
  <c r="N309" i="5" s="1"/>
  <c r="K310" i="5" l="1"/>
  <c r="J310" i="5"/>
  <c r="L310" i="5" s="1"/>
  <c r="C217" i="5"/>
  <c r="D217" i="5"/>
  <c r="H216" i="5"/>
  <c r="E217" i="5" l="1"/>
  <c r="P217" i="5" s="1"/>
  <c r="S217" i="5" s="1"/>
  <c r="M310" i="5"/>
  <c r="N310" i="5" s="1"/>
  <c r="K311" i="5" l="1"/>
  <c r="J311" i="5"/>
  <c r="L311" i="5" s="1"/>
  <c r="F217" i="5"/>
  <c r="G217" i="5" s="1"/>
  <c r="D218" i="5" l="1"/>
  <c r="C218" i="5"/>
  <c r="H217" i="5"/>
  <c r="M311" i="5"/>
  <c r="N311" i="5" s="1"/>
  <c r="K312" i="5" l="1"/>
  <c r="J312" i="5"/>
  <c r="L312" i="5" s="1"/>
  <c r="E218" i="5"/>
  <c r="P218" i="5" s="1"/>
  <c r="S218" i="5" s="1"/>
  <c r="F218" i="5" l="1"/>
  <c r="G218" i="5" s="1"/>
  <c r="M312" i="5"/>
  <c r="N312" i="5" s="1"/>
  <c r="K313" i="5" l="1"/>
  <c r="J313" i="5"/>
  <c r="L313" i="5" s="1"/>
  <c r="D219" i="5"/>
  <c r="C219" i="5"/>
  <c r="H218" i="5"/>
  <c r="E219" i="5" l="1"/>
  <c r="F219" i="5" s="1"/>
  <c r="M313" i="5"/>
  <c r="N313" i="5" s="1"/>
  <c r="E21" i="6" l="1"/>
  <c r="G219" i="5"/>
  <c r="P219" i="5"/>
  <c r="S219" i="5" s="1"/>
  <c r="D21" i="6"/>
  <c r="I21" i="6" s="1"/>
  <c r="J314" i="5"/>
  <c r="L314" i="5" s="1"/>
  <c r="K314" i="5"/>
  <c r="M314" i="5" l="1"/>
  <c r="N314" i="5" s="1"/>
  <c r="D220" i="5"/>
  <c r="C220" i="5"/>
  <c r="H219" i="5"/>
  <c r="K21" i="6"/>
  <c r="F21" i="6"/>
  <c r="E220" i="5" l="1"/>
  <c r="F220" i="5" s="1"/>
  <c r="K315" i="5"/>
  <c r="J315" i="5"/>
  <c r="L315" i="5" s="1"/>
  <c r="J29" i="6" s="1"/>
  <c r="B22" i="6"/>
  <c r="G21" i="6"/>
  <c r="G220" i="5" l="1"/>
  <c r="M315" i="5"/>
  <c r="N315" i="5" s="1"/>
  <c r="C22" i="6"/>
  <c r="P220" i="5"/>
  <c r="S220" i="5" s="1"/>
  <c r="K316" i="5" l="1"/>
  <c r="J316" i="5"/>
  <c r="L316" i="5" s="1"/>
  <c r="C221" i="5"/>
  <c r="D221" i="5"/>
  <c r="H220" i="5"/>
  <c r="E221" i="5" l="1"/>
  <c r="M316" i="5"/>
  <c r="N316" i="5" s="1"/>
  <c r="P221" i="5" l="1"/>
  <c r="S221" i="5" s="1"/>
  <c r="K317" i="5"/>
  <c r="J317" i="5"/>
  <c r="L317" i="5" s="1"/>
  <c r="F221" i="5"/>
  <c r="M317" i="5" l="1"/>
  <c r="N317" i="5" s="1"/>
  <c r="G221" i="5"/>
  <c r="D222" i="5" l="1"/>
  <c r="C222" i="5"/>
  <c r="H221" i="5"/>
  <c r="K318" i="5"/>
  <c r="J318" i="5"/>
  <c r="L318" i="5" s="1"/>
  <c r="M318" i="5" l="1"/>
  <c r="N318" i="5" s="1"/>
  <c r="E222" i="5"/>
  <c r="P222" i="5" l="1"/>
  <c r="S222" i="5" s="1"/>
  <c r="F222" i="5"/>
  <c r="K319" i="5"/>
  <c r="J319" i="5"/>
  <c r="L319" i="5" s="1"/>
  <c r="M319" i="5" l="1"/>
  <c r="N319" i="5" s="1"/>
  <c r="G222" i="5"/>
  <c r="D223" i="5" l="1"/>
  <c r="C223" i="5"/>
  <c r="H222" i="5"/>
  <c r="J320" i="5"/>
  <c r="L320" i="5" s="1"/>
  <c r="K320" i="5"/>
  <c r="E223" i="5" l="1"/>
  <c r="M320" i="5"/>
  <c r="N320" i="5" s="1"/>
  <c r="K321" i="5" l="1"/>
  <c r="J321" i="5"/>
  <c r="L321" i="5" s="1"/>
  <c r="P223" i="5"/>
  <c r="S223" i="5" s="1"/>
  <c r="F223" i="5"/>
  <c r="G223" i="5" l="1"/>
  <c r="M321" i="5"/>
  <c r="N321" i="5" s="1"/>
  <c r="J322" i="5" l="1"/>
  <c r="L322" i="5" s="1"/>
  <c r="K322" i="5"/>
  <c r="D224" i="5"/>
  <c r="C224" i="5"/>
  <c r="H223" i="5"/>
  <c r="M322" i="5" l="1"/>
  <c r="N322" i="5" s="1"/>
  <c r="E224" i="5"/>
  <c r="F224" i="5" s="1"/>
  <c r="G224" i="5" l="1"/>
  <c r="P224" i="5"/>
  <c r="S224" i="5" s="1"/>
  <c r="K323" i="5"/>
  <c r="J323" i="5"/>
  <c r="L323" i="5" s="1"/>
  <c r="C225" i="5" l="1"/>
  <c r="H224" i="5"/>
  <c r="D225" i="5"/>
  <c r="M323" i="5"/>
  <c r="N323" i="5" s="1"/>
  <c r="E225" i="5" l="1"/>
  <c r="P225" i="5" s="1"/>
  <c r="S225" i="5" s="1"/>
  <c r="K324" i="5"/>
  <c r="J324" i="5"/>
  <c r="L324" i="5" s="1"/>
  <c r="M324" i="5" l="1"/>
  <c r="N324" i="5" s="1"/>
  <c r="F225" i="5"/>
  <c r="G225" i="5" s="1"/>
  <c r="D226" i="5" l="1"/>
  <c r="C226" i="5"/>
  <c r="H225" i="5"/>
  <c r="K325" i="5"/>
  <c r="J325" i="5"/>
  <c r="L325" i="5" s="1"/>
  <c r="M325" i="5" l="1"/>
  <c r="N325" i="5" s="1"/>
  <c r="E226" i="5"/>
  <c r="P226" i="5" s="1"/>
  <c r="S226" i="5" s="1"/>
  <c r="F226" i="5" l="1"/>
  <c r="G226" i="5" s="1"/>
  <c r="J326" i="5"/>
  <c r="L326" i="5" s="1"/>
  <c r="K326" i="5"/>
  <c r="M326" i="5" l="1"/>
  <c r="N326" i="5" s="1"/>
  <c r="D227" i="5"/>
  <c r="C227" i="5"/>
  <c r="H226" i="5"/>
  <c r="E227" i="5" l="1"/>
  <c r="P227" i="5" s="1"/>
  <c r="S227" i="5" s="1"/>
  <c r="K327" i="5"/>
  <c r="J327" i="5"/>
  <c r="L327" i="5" s="1"/>
  <c r="J30" i="6" s="1"/>
  <c r="M327" i="5" l="1"/>
  <c r="N327" i="5" s="1"/>
  <c r="F227" i="5"/>
  <c r="G227" i="5" s="1"/>
  <c r="H227" i="5" l="1"/>
  <c r="D228" i="5"/>
  <c r="C228" i="5"/>
  <c r="K328" i="5"/>
  <c r="J328" i="5"/>
  <c r="L328" i="5" s="1"/>
  <c r="M328" i="5" l="1"/>
  <c r="N328" i="5" s="1"/>
  <c r="K329" i="5" s="1"/>
  <c r="E228" i="5"/>
  <c r="P228" i="5" s="1"/>
  <c r="S228" i="5" s="1"/>
  <c r="J329" i="5" l="1"/>
  <c r="L329" i="5" s="1"/>
  <c r="M329" i="5" s="1"/>
  <c r="N329" i="5" s="1"/>
  <c r="F228" i="5"/>
  <c r="G228" i="5" s="1"/>
  <c r="K330" i="5" l="1"/>
  <c r="J330" i="5"/>
  <c r="L330" i="5" s="1"/>
  <c r="C229" i="5"/>
  <c r="D229" i="5"/>
  <c r="H228" i="5"/>
  <c r="E229" i="5" l="1"/>
  <c r="P229" i="5" s="1"/>
  <c r="S229" i="5" s="1"/>
  <c r="M330" i="5"/>
  <c r="N330" i="5" s="1"/>
  <c r="K331" i="5" l="1"/>
  <c r="J331" i="5"/>
  <c r="L331" i="5" s="1"/>
  <c r="F229" i="5"/>
  <c r="G229" i="5" s="1"/>
  <c r="D230" i="5" l="1"/>
  <c r="C230" i="5"/>
  <c r="H229" i="5"/>
  <c r="M331" i="5"/>
  <c r="N331" i="5" s="1"/>
  <c r="J332" i="5" l="1"/>
  <c r="L332" i="5" s="1"/>
  <c r="K332" i="5"/>
  <c r="E230" i="5"/>
  <c r="P230" i="5" s="1"/>
  <c r="S230" i="5" s="1"/>
  <c r="F230" i="5" l="1"/>
  <c r="G230" i="5" s="1"/>
  <c r="D231" i="5" s="1"/>
  <c r="M332" i="5"/>
  <c r="N332" i="5" s="1"/>
  <c r="H230" i="5" l="1"/>
  <c r="C231" i="5"/>
  <c r="E231" i="5" s="1"/>
  <c r="K333" i="5"/>
  <c r="J333" i="5"/>
  <c r="L333" i="5" s="1"/>
  <c r="P231" i="5" l="1"/>
  <c r="S231" i="5" s="1"/>
  <c r="D22" i="6"/>
  <c r="I22" i="6" s="1"/>
  <c r="F231" i="5"/>
  <c r="M333" i="5"/>
  <c r="N333" i="5" s="1"/>
  <c r="E22" i="6" l="1"/>
  <c r="G231" i="5"/>
  <c r="K334" i="5"/>
  <c r="J334" i="5"/>
  <c r="L334" i="5" s="1"/>
  <c r="M334" i="5" l="1"/>
  <c r="N334" i="5" s="1"/>
  <c r="D232" i="5"/>
  <c r="C232" i="5"/>
  <c r="H231" i="5"/>
  <c r="K22" i="6"/>
  <c r="F22" i="6"/>
  <c r="E232" i="5" l="1"/>
  <c r="F232" i="5" s="1"/>
  <c r="G232" i="5" s="1"/>
  <c r="B23" i="6"/>
  <c r="G22" i="6"/>
  <c r="K335" i="5"/>
  <c r="J335" i="5"/>
  <c r="L335" i="5" s="1"/>
  <c r="M335" i="5" l="1"/>
  <c r="N335" i="5" s="1"/>
  <c r="C23" i="6"/>
  <c r="C233" i="5"/>
  <c r="D233" i="5"/>
  <c r="H232" i="5"/>
  <c r="P232" i="5"/>
  <c r="S232" i="5" s="1"/>
  <c r="E233" i="5" l="1"/>
  <c r="K336" i="5"/>
  <c r="J336" i="5"/>
  <c r="L336" i="5" s="1"/>
  <c r="M336" i="5" l="1"/>
  <c r="N336" i="5" s="1"/>
  <c r="P233" i="5"/>
  <c r="S233" i="5" s="1"/>
  <c r="F233" i="5"/>
  <c r="G233" i="5" l="1"/>
  <c r="K337" i="5"/>
  <c r="J337" i="5"/>
  <c r="L337" i="5" s="1"/>
  <c r="M337" i="5" l="1"/>
  <c r="N337" i="5" s="1"/>
  <c r="D234" i="5"/>
  <c r="C234" i="5"/>
  <c r="H233" i="5"/>
  <c r="E234" i="5" l="1"/>
  <c r="K338" i="5"/>
  <c r="J338" i="5"/>
  <c r="L338" i="5" s="1"/>
  <c r="M338" i="5" l="1"/>
  <c r="N338" i="5" s="1"/>
  <c r="P234" i="5"/>
  <c r="S234" i="5" s="1"/>
  <c r="F234" i="5"/>
  <c r="J339" i="5" l="1"/>
  <c r="L339" i="5" s="1"/>
  <c r="J31" i="6" s="1"/>
  <c r="K339" i="5"/>
  <c r="G234" i="5"/>
  <c r="M339" i="5" l="1"/>
  <c r="N339" i="5" s="1"/>
  <c r="K340" i="5" s="1"/>
  <c r="D235" i="5"/>
  <c r="C235" i="5"/>
  <c r="H234" i="5"/>
  <c r="J340" i="5" l="1"/>
  <c r="L340" i="5" s="1"/>
  <c r="M340" i="5" s="1"/>
  <c r="N340" i="5" s="1"/>
  <c r="E235" i="5"/>
  <c r="J341" i="5" l="1"/>
  <c r="L341" i="5" s="1"/>
  <c r="K341" i="5"/>
  <c r="P235" i="5"/>
  <c r="S235" i="5" s="1"/>
  <c r="F235" i="5"/>
  <c r="G235" i="5" l="1"/>
  <c r="M341" i="5"/>
  <c r="N341" i="5" s="1"/>
  <c r="K342" i="5" l="1"/>
  <c r="J342" i="5"/>
  <c r="L342" i="5" s="1"/>
  <c r="D236" i="5"/>
  <c r="C236" i="5"/>
  <c r="H235" i="5"/>
  <c r="E236" i="5" l="1"/>
  <c r="F236" i="5" s="1"/>
  <c r="G236" i="5" s="1"/>
  <c r="M342" i="5"/>
  <c r="N342" i="5" s="1"/>
  <c r="C237" i="5" l="1"/>
  <c r="D237" i="5"/>
  <c r="H236" i="5"/>
  <c r="J343" i="5"/>
  <c r="L343" i="5" s="1"/>
  <c r="K343" i="5"/>
  <c r="P236" i="5"/>
  <c r="S236" i="5" s="1"/>
  <c r="M343" i="5" l="1"/>
  <c r="N343" i="5" s="1"/>
  <c r="E237" i="5"/>
  <c r="P237" i="5" s="1"/>
  <c r="S237" i="5" s="1"/>
  <c r="K344" i="5" l="1"/>
  <c r="J344" i="5"/>
  <c r="L344" i="5" s="1"/>
  <c r="F237" i="5"/>
  <c r="G237" i="5" s="1"/>
  <c r="D238" i="5" l="1"/>
  <c r="C238" i="5"/>
  <c r="H237" i="5"/>
  <c r="M344" i="5"/>
  <c r="N344" i="5" s="1"/>
  <c r="K345" i="5" l="1"/>
  <c r="J345" i="5"/>
  <c r="L345" i="5" s="1"/>
  <c r="E238" i="5"/>
  <c r="P238" i="5" s="1"/>
  <c r="S238" i="5" s="1"/>
  <c r="F238" i="5" l="1"/>
  <c r="G238" i="5" s="1"/>
  <c r="M345" i="5"/>
  <c r="N345" i="5" s="1"/>
  <c r="J346" i="5" l="1"/>
  <c r="L346" i="5" s="1"/>
  <c r="K346" i="5"/>
  <c r="D239" i="5"/>
  <c r="C239" i="5"/>
  <c r="H238" i="5"/>
  <c r="E239" i="5" l="1"/>
  <c r="P239" i="5" s="1"/>
  <c r="S239" i="5" s="1"/>
  <c r="M346" i="5"/>
  <c r="N346" i="5" s="1"/>
  <c r="F239" i="5" l="1"/>
  <c r="G239" i="5" s="1"/>
  <c r="D240" i="5" s="1"/>
  <c r="J347" i="5"/>
  <c r="L347" i="5" s="1"/>
  <c r="K347" i="5"/>
  <c r="C240" i="5" l="1"/>
  <c r="E240" i="5" s="1"/>
  <c r="P240" i="5" s="1"/>
  <c r="S240" i="5" s="1"/>
  <c r="H239" i="5"/>
  <c r="M347" i="5"/>
  <c r="N347" i="5" s="1"/>
  <c r="K348" i="5" l="1"/>
  <c r="J348" i="5"/>
  <c r="L348" i="5" s="1"/>
  <c r="F240" i="5"/>
  <c r="G240" i="5" s="1"/>
  <c r="C241" i="5" l="1"/>
  <c r="H240" i="5"/>
  <c r="D241" i="5"/>
  <c r="M348" i="5"/>
  <c r="N348" i="5" s="1"/>
  <c r="K349" i="5" l="1"/>
  <c r="J349" i="5"/>
  <c r="L349" i="5" s="1"/>
  <c r="E241" i="5"/>
  <c r="P241" i="5" s="1"/>
  <c r="S241" i="5" s="1"/>
  <c r="M349" i="5" l="1"/>
  <c r="N349" i="5" s="1"/>
  <c r="F241" i="5"/>
  <c r="G241" i="5" s="1"/>
  <c r="D242" i="5" l="1"/>
  <c r="C242" i="5"/>
  <c r="H241" i="5"/>
  <c r="K350" i="5"/>
  <c r="J350" i="5"/>
  <c r="L350" i="5" s="1"/>
  <c r="M350" i="5" l="1"/>
  <c r="N350" i="5" s="1"/>
  <c r="E242" i="5"/>
  <c r="P242" i="5" s="1"/>
  <c r="S242" i="5" s="1"/>
  <c r="F242" i="5" l="1"/>
  <c r="G242" i="5" s="1"/>
  <c r="K351" i="5"/>
  <c r="J351" i="5"/>
  <c r="L351" i="5" s="1"/>
  <c r="J32" i="6" s="1"/>
  <c r="M351" i="5" l="1"/>
  <c r="N351" i="5" s="1"/>
  <c r="C243" i="5"/>
  <c r="H242" i="5"/>
  <c r="E243" i="5" l="1"/>
  <c r="K352" i="5"/>
  <c r="J352" i="5"/>
  <c r="L352" i="5" s="1"/>
  <c r="P243" i="5" l="1"/>
  <c r="S243" i="5" s="1"/>
  <c r="D23" i="6"/>
  <c r="I23" i="6" s="1"/>
  <c r="D243" i="5"/>
  <c r="F243" i="5" s="1"/>
  <c r="M352" i="5"/>
  <c r="N352" i="5" s="1"/>
  <c r="E23" i="6" l="1"/>
  <c r="G243" i="5"/>
  <c r="J353" i="5"/>
  <c r="L353" i="5" s="1"/>
  <c r="K353" i="5"/>
  <c r="M353" i="5" l="1"/>
  <c r="N353" i="5" s="1"/>
  <c r="D244" i="5"/>
  <c r="C244" i="5"/>
  <c r="H243" i="5"/>
  <c r="K23" i="6"/>
  <c r="F23" i="6"/>
  <c r="E244" i="5" l="1"/>
  <c r="F244" i="5" s="1"/>
  <c r="G244" i="5" s="1"/>
  <c r="G23" i="6"/>
  <c r="B24" i="6"/>
  <c r="J354" i="5"/>
  <c r="L354" i="5" s="1"/>
  <c r="K354" i="5"/>
  <c r="C24" i="6" l="1"/>
  <c r="M354" i="5"/>
  <c r="N354" i="5" s="1"/>
  <c r="C245" i="5"/>
  <c r="D245" i="5"/>
  <c r="H244" i="5"/>
  <c r="P244" i="5"/>
  <c r="S244" i="5" s="1"/>
  <c r="K355" i="5" l="1"/>
  <c r="J355" i="5"/>
  <c r="L355" i="5" s="1"/>
  <c r="E245" i="5"/>
  <c r="P245" i="5" l="1"/>
  <c r="S245" i="5" s="1"/>
  <c r="F245" i="5"/>
  <c r="M355" i="5"/>
  <c r="N355" i="5" s="1"/>
  <c r="K356" i="5" l="1"/>
  <c r="J356" i="5"/>
  <c r="L356" i="5" s="1"/>
  <c r="G245" i="5"/>
  <c r="D246" i="5" l="1"/>
  <c r="C246" i="5"/>
  <c r="H245" i="5"/>
  <c r="M356" i="5"/>
  <c r="N356" i="5" s="1"/>
  <c r="E246" i="5" l="1"/>
  <c r="K357" i="5"/>
  <c r="J357" i="5"/>
  <c r="L357" i="5" s="1"/>
  <c r="P246" i="5" l="1"/>
  <c r="S246" i="5" s="1"/>
  <c r="M357" i="5"/>
  <c r="N357" i="5" s="1"/>
  <c r="F246" i="5"/>
  <c r="K358" i="5" l="1"/>
  <c r="J358" i="5"/>
  <c r="L358" i="5" s="1"/>
  <c r="G246" i="5"/>
  <c r="D247" i="5" l="1"/>
  <c r="C247" i="5"/>
  <c r="H246" i="5"/>
  <c r="M358" i="5"/>
  <c r="N358" i="5" s="1"/>
  <c r="E247" i="5" l="1"/>
  <c r="F247" i="5" s="1"/>
  <c r="K359" i="5"/>
  <c r="J359" i="5"/>
  <c r="L359" i="5" s="1"/>
  <c r="M359" i="5" l="1"/>
  <c r="N359" i="5" s="1"/>
  <c r="J360" i="5" s="1"/>
  <c r="L360" i="5" s="1"/>
  <c r="G247" i="5"/>
  <c r="P247" i="5"/>
  <c r="S247" i="5" s="1"/>
  <c r="K360" i="5" l="1"/>
  <c r="M360" i="5" s="1"/>
  <c r="N360" i="5" s="1"/>
  <c r="D248" i="5"/>
  <c r="C248" i="5"/>
  <c r="H247" i="5"/>
  <c r="E248" i="5" l="1"/>
  <c r="F248" i="5" s="1"/>
  <c r="G248" i="5" s="1"/>
  <c r="K361" i="5"/>
  <c r="J361" i="5"/>
  <c r="L361" i="5" s="1"/>
  <c r="C249" i="5" l="1"/>
  <c r="D249" i="5"/>
  <c r="H248" i="5"/>
  <c r="M361" i="5"/>
  <c r="N361" i="5" s="1"/>
  <c r="P248" i="5"/>
  <c r="S248" i="5" s="1"/>
  <c r="K362" i="5" l="1"/>
  <c r="J362" i="5"/>
  <c r="L362" i="5" s="1"/>
  <c r="E249" i="5"/>
  <c r="P249" i="5" s="1"/>
  <c r="S249" i="5" s="1"/>
  <c r="F249" i="5" l="1"/>
  <c r="G249" i="5" s="1"/>
  <c r="M362" i="5"/>
  <c r="N362" i="5" s="1"/>
  <c r="D250" i="5" l="1"/>
  <c r="C250" i="5"/>
  <c r="H249" i="5"/>
  <c r="K363" i="5"/>
  <c r="J363" i="5"/>
  <c r="K364" i="5" l="1"/>
  <c r="E250" i="5"/>
  <c r="P250" i="5" s="1"/>
  <c r="S250" i="5" s="1"/>
  <c r="L363" i="5"/>
  <c r="F250" i="5" l="1"/>
  <c r="G250" i="5" s="1"/>
  <c r="L364" i="5"/>
  <c r="B22" i="3" s="1"/>
  <c r="J33" i="6"/>
  <c r="M363" i="5"/>
  <c r="M364" i="5" l="1"/>
  <c r="N363" i="5"/>
  <c r="D251" i="5"/>
  <c r="C251" i="5"/>
  <c r="H250" i="5"/>
  <c r="E251" i="5" l="1"/>
  <c r="P251" i="5" s="1"/>
  <c r="S251" i="5" s="1"/>
  <c r="F251" i="5" l="1"/>
  <c r="G251" i="5" s="1"/>
  <c r="D252" i="5" s="1"/>
  <c r="H251" i="5" l="1"/>
  <c r="C252" i="5"/>
  <c r="E252" i="5" s="1"/>
  <c r="P252" i="5" s="1"/>
  <c r="S252" i="5" s="1"/>
  <c r="F252" i="5" l="1"/>
  <c r="G252" i="5" s="1"/>
  <c r="C253" i="5" s="1"/>
  <c r="H252" i="5" l="1"/>
  <c r="D253" i="5"/>
  <c r="E253" i="5"/>
  <c r="P253" i="5" s="1"/>
  <c r="S253" i="5" s="1"/>
  <c r="F253" i="5" l="1"/>
  <c r="G253" i="5" s="1"/>
  <c r="D254" i="5" l="1"/>
  <c r="C254" i="5"/>
  <c r="H253" i="5"/>
  <c r="E254" i="5" l="1"/>
  <c r="P254" i="5" s="1"/>
  <c r="S254" i="5" s="1"/>
  <c r="F254" i="5" l="1"/>
  <c r="G254" i="5" s="1"/>
  <c r="D255" i="5" s="1"/>
  <c r="H254" i="5" l="1"/>
  <c r="C255" i="5"/>
  <c r="E255" i="5"/>
  <c r="F255" i="5" s="1"/>
  <c r="E24" i="6" s="1"/>
  <c r="K24" i="6" l="1"/>
  <c r="F24" i="6"/>
  <c r="P255" i="5"/>
  <c r="S255" i="5" s="1"/>
  <c r="D24" i="6"/>
  <c r="I24" i="6" s="1"/>
  <c r="G255" i="5"/>
  <c r="G24" i="6" l="1"/>
  <c r="B25" i="6"/>
  <c r="D256" i="5"/>
  <c r="C256" i="5"/>
  <c r="H255" i="5"/>
  <c r="E256" i="5" l="1"/>
  <c r="F256" i="5" s="1"/>
  <c r="G256" i="5" s="1"/>
  <c r="C25" i="6"/>
  <c r="C257" i="5" l="1"/>
  <c r="H256" i="5"/>
  <c r="D257" i="5"/>
  <c r="P256" i="5"/>
  <c r="S256" i="5" s="1"/>
  <c r="E257" i="5" l="1"/>
  <c r="P257" i="5" l="1"/>
  <c r="S257" i="5" s="1"/>
  <c r="F257" i="5"/>
  <c r="G257" i="5" l="1"/>
  <c r="D258" i="5" l="1"/>
  <c r="C258" i="5"/>
  <c r="H257" i="5"/>
  <c r="E258" i="5" l="1"/>
  <c r="P258" i="5" l="1"/>
  <c r="S258" i="5" s="1"/>
  <c r="F258" i="5"/>
  <c r="G258" i="5" l="1"/>
  <c r="D259" i="5" l="1"/>
  <c r="C259" i="5"/>
  <c r="H258" i="5"/>
  <c r="E259" i="5" l="1"/>
  <c r="F259" i="5" s="1"/>
  <c r="P259" i="5" l="1"/>
  <c r="S259" i="5" s="1"/>
  <c r="G259" i="5"/>
  <c r="H259" i="5" l="1"/>
  <c r="D260" i="5"/>
  <c r="C260" i="5"/>
  <c r="E260" i="5" l="1"/>
  <c r="P260" i="5" l="1"/>
  <c r="S260" i="5" s="1"/>
  <c r="F260" i="5"/>
  <c r="G260" i="5" s="1"/>
  <c r="C261" i="5" l="1"/>
  <c r="D261" i="5"/>
  <c r="H260" i="5"/>
  <c r="E261" i="5" l="1"/>
  <c r="P261" i="5" s="1"/>
  <c r="S261" i="5" s="1"/>
  <c r="F261" i="5" l="1"/>
  <c r="G261" i="5" s="1"/>
  <c r="D262" i="5" l="1"/>
  <c r="C262" i="5"/>
  <c r="H261" i="5"/>
  <c r="E262" i="5" l="1"/>
  <c r="P262" i="5" s="1"/>
  <c r="S262" i="5" s="1"/>
  <c r="F262" i="5" l="1"/>
  <c r="G262" i="5" s="1"/>
  <c r="D263" i="5" s="1"/>
  <c r="H262" i="5" l="1"/>
  <c r="C263" i="5"/>
  <c r="E263" i="5" s="1"/>
  <c r="P263" i="5" s="1"/>
  <c r="S263" i="5" s="1"/>
  <c r="F263" i="5" l="1"/>
  <c r="G263" i="5" s="1"/>
  <c r="D264" i="5" s="1"/>
  <c r="C264" i="5" l="1"/>
  <c r="H263" i="5"/>
  <c r="E264" i="5"/>
  <c r="P264" i="5" s="1"/>
  <c r="S264" i="5" s="1"/>
  <c r="F264" i="5" l="1"/>
  <c r="G264" i="5" s="1"/>
  <c r="D265" i="5" s="1"/>
  <c r="C265" i="5" l="1"/>
  <c r="H264" i="5"/>
  <c r="E265" i="5"/>
  <c r="P265" i="5" s="1"/>
  <c r="S265" i="5" s="1"/>
  <c r="F265" i="5" l="1"/>
  <c r="G265" i="5" s="1"/>
  <c r="D266" i="5" l="1"/>
  <c r="C266" i="5"/>
  <c r="H265" i="5"/>
  <c r="E266" i="5" l="1"/>
  <c r="P266" i="5" s="1"/>
  <c r="S266" i="5" s="1"/>
  <c r="F266" i="5" l="1"/>
  <c r="G266" i="5" s="1"/>
  <c r="D267" i="5" l="1"/>
  <c r="C267" i="5"/>
  <c r="H266" i="5"/>
  <c r="E267" i="5" l="1"/>
  <c r="F267" i="5" s="1"/>
  <c r="E25" i="6" s="1"/>
  <c r="K25" i="6" l="1"/>
  <c r="F25" i="6"/>
  <c r="P267" i="5"/>
  <c r="S267" i="5" s="1"/>
  <c r="D25" i="6"/>
  <c r="I25" i="6" s="1"/>
  <c r="G267" i="5"/>
  <c r="B26" i="6" l="1"/>
  <c r="G25" i="6"/>
  <c r="D268" i="5"/>
  <c r="C268" i="5"/>
  <c r="H267" i="5"/>
  <c r="E268" i="5" l="1"/>
  <c r="F268" i="5" s="1"/>
  <c r="C26" i="6"/>
  <c r="G268" i="5" l="1"/>
  <c r="P268" i="5"/>
  <c r="S268" i="5" s="1"/>
  <c r="C269" i="5" l="1"/>
  <c r="H268" i="5"/>
  <c r="D269" i="5"/>
  <c r="E269" i="5" l="1"/>
  <c r="P269" i="5" l="1"/>
  <c r="S269" i="5" s="1"/>
  <c r="F269" i="5"/>
  <c r="G269" i="5" l="1"/>
  <c r="D270" i="5" l="1"/>
  <c r="C270" i="5"/>
  <c r="H269" i="5"/>
  <c r="E270" i="5" l="1"/>
  <c r="F270" i="5" s="1"/>
  <c r="P270" i="5" l="1"/>
  <c r="S270" i="5" s="1"/>
  <c r="G270" i="5"/>
  <c r="D271" i="5" l="1"/>
  <c r="C271" i="5"/>
  <c r="H270" i="5"/>
  <c r="E271" i="5" l="1"/>
  <c r="F271" i="5" s="1"/>
  <c r="G271" i="5" s="1"/>
  <c r="D272" i="5" l="1"/>
  <c r="C272" i="5"/>
  <c r="H271" i="5"/>
  <c r="P271" i="5"/>
  <c r="S271" i="5" s="1"/>
  <c r="E272" i="5" l="1"/>
  <c r="F272" i="5" s="1"/>
  <c r="G272" i="5" s="1"/>
  <c r="C273" i="5" l="1"/>
  <c r="D273" i="5"/>
  <c r="H272" i="5"/>
  <c r="P272" i="5"/>
  <c r="S272" i="5" s="1"/>
  <c r="E273" i="5" l="1"/>
  <c r="P273" i="5" s="1"/>
  <c r="S273" i="5" s="1"/>
  <c r="F273" i="5" l="1"/>
  <c r="G273" i="5" s="1"/>
  <c r="D274" i="5" l="1"/>
  <c r="C274" i="5"/>
  <c r="H273" i="5"/>
  <c r="E274" i="5" l="1"/>
  <c r="P274" i="5" s="1"/>
  <c r="S274" i="5" s="1"/>
  <c r="F274" i="5" l="1"/>
  <c r="G274" i="5" s="1"/>
  <c r="D275" i="5" s="1"/>
  <c r="H274" i="5" l="1"/>
  <c r="C275" i="5"/>
  <c r="E275" i="5" s="1"/>
  <c r="P275" i="5" l="1"/>
  <c r="S275" i="5" s="1"/>
  <c r="F275" i="5"/>
  <c r="G275" i="5" s="1"/>
  <c r="H275" i="5" s="1"/>
  <c r="C276" i="5" l="1"/>
  <c r="E276" i="5" s="1"/>
  <c r="P276" i="5" s="1"/>
  <c r="S276" i="5" s="1"/>
  <c r="D276" i="5"/>
  <c r="F276" i="5" l="1"/>
  <c r="G276" i="5" s="1"/>
  <c r="D277" i="5" s="1"/>
  <c r="H276" i="5" l="1"/>
  <c r="C277" i="5"/>
  <c r="E277" i="5" s="1"/>
  <c r="P277" i="5" s="1"/>
  <c r="S277" i="5" s="1"/>
  <c r="F277" i="5" l="1"/>
  <c r="G277" i="5" s="1"/>
  <c r="D278" i="5" l="1"/>
  <c r="C278" i="5"/>
  <c r="H277" i="5"/>
  <c r="E278" i="5" l="1"/>
  <c r="P278" i="5" s="1"/>
  <c r="S278" i="5" s="1"/>
  <c r="F278" i="5" l="1"/>
  <c r="G278" i="5" s="1"/>
  <c r="H278" i="5" s="1"/>
  <c r="C279" i="5" l="1"/>
  <c r="E279" i="5" s="1"/>
  <c r="D279" i="5"/>
  <c r="F279" i="5" l="1"/>
  <c r="E26" i="6" s="1"/>
  <c r="K26" i="6" s="1"/>
  <c r="P279" i="5"/>
  <c r="S279" i="5" s="1"/>
  <c r="D26" i="6"/>
  <c r="I26" i="6" s="1"/>
  <c r="G279" i="5" l="1"/>
  <c r="D280" i="5" s="1"/>
  <c r="F26" i="6"/>
  <c r="B27" i="6" s="1"/>
  <c r="H279" i="5" l="1"/>
  <c r="C280" i="5"/>
  <c r="E280" i="5" s="1"/>
  <c r="G26" i="6"/>
  <c r="C27" i="6"/>
  <c r="P280" i="5" l="1"/>
  <c r="S280" i="5" s="1"/>
  <c r="F280" i="5"/>
  <c r="G280" i="5" l="1"/>
  <c r="C281" i="5" l="1"/>
  <c r="D281" i="5"/>
  <c r="H280" i="5"/>
  <c r="E281" i="5" l="1"/>
  <c r="P281" i="5" l="1"/>
  <c r="S281" i="5" s="1"/>
  <c r="F281" i="5"/>
  <c r="G281" i="5" l="1"/>
  <c r="D282" i="5" l="1"/>
  <c r="C282" i="5"/>
  <c r="H281" i="5"/>
  <c r="E282" i="5" l="1"/>
  <c r="F282" i="5" s="1"/>
  <c r="P282" i="5" l="1"/>
  <c r="S282" i="5" s="1"/>
  <c r="G282" i="5"/>
  <c r="D283" i="5" l="1"/>
  <c r="H282" i="5"/>
  <c r="C283" i="5"/>
  <c r="E283" i="5" l="1"/>
  <c r="F283" i="5" s="1"/>
  <c r="G283" i="5" l="1"/>
  <c r="P283" i="5"/>
  <c r="S283" i="5" s="1"/>
  <c r="D284" i="5" l="1"/>
  <c r="C284" i="5"/>
  <c r="H283" i="5"/>
  <c r="E284" i="5" l="1"/>
  <c r="F284" i="5" s="1"/>
  <c r="G284" i="5" s="1"/>
  <c r="C285" i="5" l="1"/>
  <c r="H284" i="5"/>
  <c r="D285" i="5"/>
  <c r="P284" i="5"/>
  <c r="S284" i="5" s="1"/>
  <c r="E285" i="5" l="1"/>
  <c r="P285" i="5" s="1"/>
  <c r="S285" i="5" s="1"/>
  <c r="F285" i="5" l="1"/>
  <c r="G285" i="5" s="1"/>
  <c r="D286" i="5" l="1"/>
  <c r="C286" i="5"/>
  <c r="H285" i="5"/>
  <c r="E286" i="5" l="1"/>
  <c r="P286" i="5" s="1"/>
  <c r="S286" i="5" s="1"/>
  <c r="F286" i="5" l="1"/>
  <c r="G286" i="5" s="1"/>
  <c r="D287" i="5" s="1"/>
  <c r="H286" i="5" l="1"/>
  <c r="C287" i="5"/>
  <c r="E287" i="5" s="1"/>
  <c r="P287" i="5" s="1"/>
  <c r="S287" i="5" s="1"/>
  <c r="F287" i="5" l="1"/>
  <c r="G287" i="5" s="1"/>
  <c r="D288" i="5" l="1"/>
  <c r="C288" i="5"/>
  <c r="H287" i="5"/>
  <c r="E288" i="5" l="1"/>
  <c r="P288" i="5" s="1"/>
  <c r="S288" i="5" s="1"/>
  <c r="F288" i="5" l="1"/>
  <c r="G288" i="5" s="1"/>
  <c r="C289" i="5" l="1"/>
  <c r="D289" i="5"/>
  <c r="H288" i="5"/>
  <c r="E289" i="5" l="1"/>
  <c r="P289" i="5" s="1"/>
  <c r="S289" i="5" s="1"/>
  <c r="F289" i="5" l="1"/>
  <c r="G289" i="5" s="1"/>
  <c r="D290" i="5" l="1"/>
  <c r="C290" i="5"/>
  <c r="H289" i="5"/>
  <c r="E290" i="5" l="1"/>
  <c r="P290" i="5" s="1"/>
  <c r="S290" i="5" s="1"/>
  <c r="F290" i="5" l="1"/>
  <c r="G290" i="5" s="1"/>
  <c r="D291" i="5" s="1"/>
  <c r="H290" i="5" l="1"/>
  <c r="C291" i="5"/>
  <c r="E291" i="5" s="1"/>
  <c r="F291" i="5" s="1"/>
  <c r="E27" i="6" s="1"/>
  <c r="K27" i="6" l="1"/>
  <c r="F27" i="6"/>
  <c r="P291" i="5"/>
  <c r="S291" i="5" s="1"/>
  <c r="D27" i="6"/>
  <c r="I27" i="6" s="1"/>
  <c r="G291" i="5"/>
  <c r="B28" i="6" l="1"/>
  <c r="G27" i="6"/>
  <c r="D292" i="5"/>
  <c r="C292" i="5"/>
  <c r="H291" i="5"/>
  <c r="E292" i="5" l="1"/>
  <c r="F292" i="5" s="1"/>
  <c r="G292" i="5" s="1"/>
  <c r="C28" i="6"/>
  <c r="C293" i="5" l="1"/>
  <c r="H292" i="5"/>
  <c r="D293" i="5"/>
  <c r="P292" i="5"/>
  <c r="S292" i="5" s="1"/>
  <c r="E293" i="5" l="1"/>
  <c r="P293" i="5" l="1"/>
  <c r="S293" i="5" s="1"/>
  <c r="F293" i="5"/>
  <c r="G293" i="5" l="1"/>
  <c r="D294" i="5" l="1"/>
  <c r="C294" i="5"/>
  <c r="H293" i="5"/>
  <c r="E294" i="5" l="1"/>
  <c r="F294" i="5" s="1"/>
  <c r="P294" i="5" l="1"/>
  <c r="S294" i="5" s="1"/>
  <c r="G294" i="5"/>
  <c r="D295" i="5" l="1"/>
  <c r="C295" i="5"/>
  <c r="H294" i="5"/>
  <c r="E295" i="5" l="1"/>
  <c r="F295" i="5" s="1"/>
  <c r="G295" i="5" s="1"/>
  <c r="H295" i="5" l="1"/>
  <c r="D296" i="5"/>
  <c r="C296" i="5"/>
  <c r="P295" i="5"/>
  <c r="S295" i="5" s="1"/>
  <c r="E296" i="5" l="1"/>
  <c r="F296" i="5" s="1"/>
  <c r="G296" i="5" s="1"/>
  <c r="C297" i="5" l="1"/>
  <c r="D297" i="5"/>
  <c r="H296" i="5"/>
  <c r="P296" i="5"/>
  <c r="S296" i="5" s="1"/>
  <c r="E297" i="5" l="1"/>
  <c r="P297" i="5" s="1"/>
  <c r="S297" i="5" s="1"/>
  <c r="F297" i="5" l="1"/>
  <c r="G297" i="5" s="1"/>
  <c r="D298" i="5" l="1"/>
  <c r="C298" i="5"/>
  <c r="H297" i="5"/>
  <c r="E298" i="5" l="1"/>
  <c r="P298" i="5" s="1"/>
  <c r="S298" i="5" s="1"/>
  <c r="F298" i="5" l="1"/>
  <c r="G298" i="5" s="1"/>
  <c r="C299" i="5" s="1"/>
  <c r="D299" i="5" l="1"/>
  <c r="H298" i="5"/>
  <c r="E299" i="5"/>
  <c r="P299" i="5" s="1"/>
  <c r="S299" i="5" s="1"/>
  <c r="F299" i="5" l="1"/>
  <c r="G299" i="5" s="1"/>
  <c r="D300" i="5" s="1"/>
  <c r="H299" i="5" l="1"/>
  <c r="C300" i="5"/>
  <c r="E300" i="5" s="1"/>
  <c r="P300" i="5" s="1"/>
  <c r="S300" i="5" s="1"/>
  <c r="F300" i="5" l="1"/>
  <c r="G300" i="5" s="1"/>
  <c r="C301" i="5" s="1"/>
  <c r="D301" i="5" l="1"/>
  <c r="H300" i="5"/>
  <c r="E301" i="5"/>
  <c r="P301" i="5" s="1"/>
  <c r="S301" i="5" s="1"/>
  <c r="F301" i="5" l="1"/>
  <c r="G301" i="5" s="1"/>
  <c r="D302" i="5" l="1"/>
  <c r="C302" i="5"/>
  <c r="H301" i="5"/>
  <c r="E302" i="5" l="1"/>
  <c r="P302" i="5" s="1"/>
  <c r="S302" i="5" s="1"/>
  <c r="F302" i="5" l="1"/>
  <c r="G302" i="5" s="1"/>
  <c r="D303" i="5" s="1"/>
  <c r="H302" i="5" l="1"/>
  <c r="C303" i="5"/>
  <c r="E303" i="5" s="1"/>
  <c r="F303" i="5" s="1"/>
  <c r="E28" i="6" s="1"/>
  <c r="K28" i="6" l="1"/>
  <c r="F28" i="6"/>
  <c r="P303" i="5"/>
  <c r="S303" i="5" s="1"/>
  <c r="D28" i="6"/>
  <c r="I28" i="6" s="1"/>
  <c r="G303" i="5"/>
  <c r="B29" i="6" l="1"/>
  <c r="G28" i="6"/>
  <c r="D304" i="5"/>
  <c r="C304" i="5"/>
  <c r="H303" i="5"/>
  <c r="E304" i="5" l="1"/>
  <c r="F304" i="5" s="1"/>
  <c r="C29" i="6"/>
  <c r="G304" i="5" l="1"/>
  <c r="P304" i="5"/>
  <c r="S304" i="5" s="1"/>
  <c r="C305" i="5" l="1"/>
  <c r="D305" i="5"/>
  <c r="H304" i="5"/>
  <c r="E305" i="5" l="1"/>
  <c r="P305" i="5" l="1"/>
  <c r="S305" i="5" s="1"/>
  <c r="F305" i="5"/>
  <c r="G305" i="5" l="1"/>
  <c r="D306" i="5" l="1"/>
  <c r="C306" i="5"/>
  <c r="H305" i="5"/>
  <c r="E306" i="5" l="1"/>
  <c r="F306" i="5" s="1"/>
  <c r="P306" i="5" l="1"/>
  <c r="S306" i="5" s="1"/>
  <c r="G306" i="5"/>
  <c r="D307" i="5" l="1"/>
  <c r="C307" i="5"/>
  <c r="H306" i="5"/>
  <c r="E307" i="5" l="1"/>
  <c r="F307" i="5" s="1"/>
  <c r="G307" i="5" s="1"/>
  <c r="D308" i="5" l="1"/>
  <c r="C308" i="5"/>
  <c r="H307" i="5"/>
  <c r="P307" i="5"/>
  <c r="S307" i="5" s="1"/>
  <c r="E308" i="5" l="1"/>
  <c r="F308" i="5" s="1"/>
  <c r="G308" i="5" s="1"/>
  <c r="C309" i="5" l="1"/>
  <c r="H308" i="5"/>
  <c r="D309" i="5"/>
  <c r="P308" i="5"/>
  <c r="S308" i="5" s="1"/>
  <c r="E309" i="5" l="1"/>
  <c r="P309" i="5" s="1"/>
  <c r="S309" i="5" s="1"/>
  <c r="F309" i="5" l="1"/>
  <c r="G309" i="5" s="1"/>
  <c r="D310" i="5" l="1"/>
  <c r="C310" i="5"/>
  <c r="H309" i="5"/>
  <c r="E310" i="5" l="1"/>
  <c r="P310" i="5" s="1"/>
  <c r="S310" i="5" s="1"/>
  <c r="F310" i="5" l="1"/>
  <c r="G310" i="5" s="1"/>
  <c r="D311" i="5" l="1"/>
  <c r="C311" i="5"/>
  <c r="H310" i="5"/>
  <c r="E311" i="5" l="1"/>
  <c r="P311" i="5" s="1"/>
  <c r="S311" i="5" s="1"/>
  <c r="F311" i="5" l="1"/>
  <c r="G311" i="5" s="1"/>
  <c r="H311" i="5" l="1"/>
  <c r="D312" i="5"/>
  <c r="C312" i="5"/>
  <c r="E312" i="5" l="1"/>
  <c r="P312" i="5" s="1"/>
  <c r="S312" i="5" s="1"/>
  <c r="F312" i="5" l="1"/>
  <c r="G312" i="5" s="1"/>
  <c r="C313" i="5" s="1"/>
  <c r="H312" i="5" l="1"/>
  <c r="D313" i="5"/>
  <c r="E313" i="5"/>
  <c r="P313" i="5" s="1"/>
  <c r="S313" i="5" s="1"/>
  <c r="F313" i="5" l="1"/>
  <c r="G313" i="5" s="1"/>
  <c r="D314" i="5" l="1"/>
  <c r="C314" i="5"/>
  <c r="H313" i="5"/>
  <c r="E314" i="5" l="1"/>
  <c r="P314" i="5" s="1"/>
  <c r="S314" i="5" s="1"/>
  <c r="F314" i="5" l="1"/>
  <c r="G314" i="5" s="1"/>
  <c r="D315" i="5" s="1"/>
  <c r="C315" i="5" l="1"/>
  <c r="H314" i="5"/>
  <c r="E315" i="5"/>
  <c r="F315" i="5" s="1"/>
  <c r="E29" i="6" s="1"/>
  <c r="K29" i="6" l="1"/>
  <c r="F29" i="6"/>
  <c r="P315" i="5"/>
  <c r="S315" i="5" s="1"/>
  <c r="D29" i="6"/>
  <c r="I29" i="6" s="1"/>
  <c r="G315" i="5"/>
  <c r="B30" i="6" l="1"/>
  <c r="G29" i="6"/>
  <c r="D316" i="5"/>
  <c r="C316" i="5"/>
  <c r="H315" i="5"/>
  <c r="E316" i="5" l="1"/>
  <c r="F316" i="5" s="1"/>
  <c r="C30" i="6"/>
  <c r="G316" i="5" l="1"/>
  <c r="P316" i="5"/>
  <c r="S316" i="5" s="1"/>
  <c r="C317" i="5" l="1"/>
  <c r="H316" i="5"/>
  <c r="D317" i="5"/>
  <c r="E317" i="5" l="1"/>
  <c r="P317" i="5" l="1"/>
  <c r="S317" i="5" s="1"/>
  <c r="F317" i="5"/>
  <c r="G317" i="5" l="1"/>
  <c r="D318" i="5" l="1"/>
  <c r="C318" i="5"/>
  <c r="H317" i="5"/>
  <c r="E318" i="5" l="1"/>
  <c r="F318" i="5" s="1"/>
  <c r="P318" i="5" l="1"/>
  <c r="S318" i="5" s="1"/>
  <c r="G318" i="5"/>
  <c r="D319" i="5" l="1"/>
  <c r="C319" i="5"/>
  <c r="H318" i="5"/>
  <c r="E319" i="5" l="1"/>
  <c r="F319" i="5" s="1"/>
  <c r="P319" i="5" l="1"/>
  <c r="S319" i="5" s="1"/>
  <c r="G319" i="5"/>
  <c r="D320" i="5" l="1"/>
  <c r="C320" i="5"/>
  <c r="H319" i="5"/>
  <c r="E320" i="5" l="1"/>
  <c r="F320" i="5" s="1"/>
  <c r="G320" i="5" s="1"/>
  <c r="C321" i="5" l="1"/>
  <c r="D321" i="5"/>
  <c r="H320" i="5"/>
  <c r="P320" i="5"/>
  <c r="S320" i="5" s="1"/>
  <c r="E321" i="5" l="1"/>
  <c r="P321" i="5" s="1"/>
  <c r="S321" i="5" s="1"/>
  <c r="F321" i="5" l="1"/>
  <c r="G321" i="5" s="1"/>
  <c r="D322" i="5" l="1"/>
  <c r="C322" i="5"/>
  <c r="H321" i="5"/>
  <c r="E322" i="5" l="1"/>
  <c r="P322" i="5" s="1"/>
  <c r="S322" i="5" s="1"/>
  <c r="F322" i="5" l="1"/>
  <c r="G322" i="5" s="1"/>
  <c r="D323" i="5" l="1"/>
  <c r="C323" i="5"/>
  <c r="H322" i="5"/>
  <c r="E323" i="5" l="1"/>
  <c r="P323" i="5" s="1"/>
  <c r="S323" i="5" s="1"/>
  <c r="F323" i="5" l="1"/>
  <c r="G323" i="5" s="1"/>
  <c r="D324" i="5" l="1"/>
  <c r="C324" i="5"/>
  <c r="H323" i="5"/>
  <c r="E324" i="5" l="1"/>
  <c r="P324" i="5" s="1"/>
  <c r="S324" i="5" s="1"/>
  <c r="F324" i="5" l="1"/>
  <c r="G324" i="5" s="1"/>
  <c r="H324" i="5" s="1"/>
  <c r="D325" i="5" l="1"/>
  <c r="C325" i="5"/>
  <c r="E325" i="5" s="1"/>
  <c r="P325" i="5" s="1"/>
  <c r="S325" i="5" s="1"/>
  <c r="F325" i="5" l="1"/>
  <c r="G325" i="5" s="1"/>
  <c r="D326" i="5" l="1"/>
  <c r="C326" i="5"/>
  <c r="H325" i="5"/>
  <c r="E326" i="5" l="1"/>
  <c r="P326" i="5" s="1"/>
  <c r="S326" i="5" s="1"/>
  <c r="F326" i="5" l="1"/>
  <c r="G326" i="5" s="1"/>
  <c r="D327" i="5" l="1"/>
  <c r="C327" i="5"/>
  <c r="H326" i="5"/>
  <c r="E327" i="5" l="1"/>
  <c r="P327" i="5" l="1"/>
  <c r="S327" i="5" s="1"/>
  <c r="D30" i="6"/>
  <c r="I30" i="6" s="1"/>
  <c r="F327" i="5"/>
  <c r="E30" i="6" l="1"/>
  <c r="G327" i="5"/>
  <c r="H327" i="5" l="1"/>
  <c r="D328" i="5"/>
  <c r="C328" i="5"/>
  <c r="K30" i="6"/>
  <c r="F30" i="6"/>
  <c r="E328" i="5" l="1"/>
  <c r="F328" i="5" s="1"/>
  <c r="B31" i="6"/>
  <c r="G30" i="6"/>
  <c r="G328" i="5" l="1"/>
  <c r="C31" i="6"/>
  <c r="P328" i="5"/>
  <c r="S328" i="5" s="1"/>
  <c r="C329" i="5" l="1"/>
  <c r="D329" i="5"/>
  <c r="H328" i="5"/>
  <c r="E329" i="5" l="1"/>
  <c r="P329" i="5" l="1"/>
  <c r="S329" i="5" s="1"/>
  <c r="F329" i="5"/>
  <c r="G329" i="5" l="1"/>
  <c r="D330" i="5" l="1"/>
  <c r="C330" i="5"/>
  <c r="H329" i="5"/>
  <c r="E330" i="5" l="1"/>
  <c r="P330" i="5" l="1"/>
  <c r="S330" i="5" s="1"/>
  <c r="F330" i="5"/>
  <c r="G330" i="5" l="1"/>
  <c r="D331" i="5" l="1"/>
  <c r="C331" i="5"/>
  <c r="H330" i="5"/>
  <c r="E331" i="5" l="1"/>
  <c r="F331" i="5" s="1"/>
  <c r="G331" i="5" l="1"/>
  <c r="P331" i="5"/>
  <c r="S331" i="5" s="1"/>
  <c r="D332" i="5" l="1"/>
  <c r="H331" i="5"/>
  <c r="C332" i="5"/>
  <c r="E332" i="5" l="1"/>
  <c r="P332" i="5" l="1"/>
  <c r="S332" i="5" s="1"/>
  <c r="F332" i="5"/>
  <c r="G332" i="5" s="1"/>
  <c r="D333" i="5" l="1"/>
  <c r="H332" i="5"/>
  <c r="C333" i="5"/>
  <c r="E333" i="5" l="1"/>
  <c r="P333" i="5" s="1"/>
  <c r="S333" i="5" s="1"/>
  <c r="F333" i="5" l="1"/>
  <c r="G333" i="5" s="1"/>
  <c r="C334" i="5" l="1"/>
  <c r="D334" i="5"/>
  <c r="H333" i="5"/>
  <c r="E334" i="5" l="1"/>
  <c r="P334" i="5" s="1"/>
  <c r="S334" i="5" s="1"/>
  <c r="F334" i="5" l="1"/>
  <c r="G334" i="5" s="1"/>
  <c r="D335" i="5" l="1"/>
  <c r="C335" i="5"/>
  <c r="H334" i="5"/>
  <c r="E335" i="5" l="1"/>
  <c r="P335" i="5" s="1"/>
  <c r="S335" i="5" s="1"/>
  <c r="F335" i="5" l="1"/>
  <c r="G335" i="5" s="1"/>
  <c r="D336" i="5" l="1"/>
  <c r="C336" i="5"/>
  <c r="H335" i="5"/>
  <c r="E336" i="5" l="1"/>
  <c r="P336" i="5" s="1"/>
  <c r="S336" i="5" s="1"/>
  <c r="F336" i="5" l="1"/>
  <c r="G336" i="5" s="1"/>
  <c r="H336" i="5" l="1"/>
  <c r="D337" i="5"/>
  <c r="C337" i="5"/>
  <c r="E337" i="5" l="1"/>
  <c r="P337" i="5" s="1"/>
  <c r="S337" i="5" s="1"/>
  <c r="F337" i="5" l="1"/>
  <c r="G337" i="5" s="1"/>
  <c r="C338" i="5" s="1"/>
  <c r="H337" i="5" l="1"/>
  <c r="D338" i="5"/>
  <c r="E338" i="5"/>
  <c r="P338" i="5" s="1"/>
  <c r="S338" i="5" s="1"/>
  <c r="F338" i="5" l="1"/>
  <c r="G338" i="5" s="1"/>
  <c r="D339" i="5" l="1"/>
  <c r="C339" i="5"/>
  <c r="H338" i="5"/>
  <c r="E339" i="5" l="1"/>
  <c r="P339" i="5" l="1"/>
  <c r="S339" i="5" s="1"/>
  <c r="D31" i="6"/>
  <c r="I31" i="6" s="1"/>
  <c r="F339" i="5"/>
  <c r="E31" i="6" l="1"/>
  <c r="G339" i="5"/>
  <c r="D340" i="5" l="1"/>
  <c r="H339" i="5"/>
  <c r="C340" i="5"/>
  <c r="K31" i="6"/>
  <c r="F31" i="6"/>
  <c r="B32" i="6" l="1"/>
  <c r="G31" i="6"/>
  <c r="E340" i="5"/>
  <c r="P340" i="5" l="1"/>
  <c r="S340" i="5" s="1"/>
  <c r="F340" i="5"/>
  <c r="C32" i="6"/>
  <c r="G340" i="5" l="1"/>
  <c r="D341" i="5" l="1"/>
  <c r="H340" i="5"/>
  <c r="C341" i="5"/>
  <c r="E341" i="5" l="1"/>
  <c r="F341" i="5" s="1"/>
  <c r="G341" i="5" l="1"/>
  <c r="P341" i="5"/>
  <c r="S341" i="5" s="1"/>
  <c r="C342" i="5" l="1"/>
  <c r="H341" i="5"/>
  <c r="D342" i="5"/>
  <c r="E342" i="5" l="1"/>
  <c r="P342" i="5" l="1"/>
  <c r="S342" i="5" s="1"/>
  <c r="F342" i="5"/>
  <c r="G342" i="5" l="1"/>
  <c r="D343" i="5" l="1"/>
  <c r="C343" i="5"/>
  <c r="H342" i="5"/>
  <c r="E343" i="5" l="1"/>
  <c r="P343" i="5" l="1"/>
  <c r="S343" i="5" s="1"/>
  <c r="F343" i="5"/>
  <c r="G343" i="5" l="1"/>
  <c r="D344" i="5" l="1"/>
  <c r="C344" i="5"/>
  <c r="H343" i="5"/>
  <c r="E344" i="5" l="1"/>
  <c r="F344" i="5" s="1"/>
  <c r="G344" i="5" s="1"/>
  <c r="H344" i="5" l="1"/>
  <c r="C345" i="5"/>
  <c r="D345" i="5"/>
  <c r="P344" i="5"/>
  <c r="S344" i="5" s="1"/>
  <c r="E345" i="5" l="1"/>
  <c r="P345" i="5" s="1"/>
  <c r="S345" i="5" s="1"/>
  <c r="F345" i="5" l="1"/>
  <c r="G345" i="5" s="1"/>
  <c r="C346" i="5" l="1"/>
  <c r="D346" i="5"/>
  <c r="H345" i="5"/>
  <c r="E346" i="5" l="1"/>
  <c r="P346" i="5" s="1"/>
  <c r="S346" i="5" s="1"/>
  <c r="F346" i="5" l="1"/>
  <c r="G346" i="5" s="1"/>
  <c r="D347" i="5" l="1"/>
  <c r="C347" i="5"/>
  <c r="H346" i="5"/>
  <c r="E347" i="5" l="1"/>
  <c r="P347" i="5" s="1"/>
  <c r="S347" i="5" s="1"/>
  <c r="F347" i="5" l="1"/>
  <c r="G347" i="5" s="1"/>
  <c r="D348" i="5" l="1"/>
  <c r="H347" i="5"/>
  <c r="C348" i="5"/>
  <c r="E348" i="5" l="1"/>
  <c r="P348" i="5" s="1"/>
  <c r="S348" i="5" s="1"/>
  <c r="F348" i="5" l="1"/>
  <c r="G348" i="5" s="1"/>
  <c r="D349" i="5" l="1"/>
  <c r="H348" i="5"/>
  <c r="C349" i="5"/>
  <c r="E349" i="5" l="1"/>
  <c r="P349" i="5" s="1"/>
  <c r="S349" i="5" s="1"/>
  <c r="F349" i="5" l="1"/>
  <c r="G349" i="5" s="1"/>
  <c r="C350" i="5" s="1"/>
  <c r="H349" i="5" l="1"/>
  <c r="D350" i="5"/>
  <c r="E350" i="5"/>
  <c r="P350" i="5" s="1"/>
  <c r="S350" i="5" s="1"/>
  <c r="F350" i="5" l="1"/>
  <c r="G350" i="5" s="1"/>
  <c r="D351" i="5" l="1"/>
  <c r="C351" i="5"/>
  <c r="H350" i="5"/>
  <c r="E351" i="5" l="1"/>
  <c r="F351" i="5" s="1"/>
  <c r="E32" i="6" l="1"/>
  <c r="G351" i="5"/>
  <c r="P351" i="5"/>
  <c r="S351" i="5" s="1"/>
  <c r="D32" i="6"/>
  <c r="I32" i="6" s="1"/>
  <c r="D352" i="5" l="1"/>
  <c r="C352" i="5"/>
  <c r="H351" i="5"/>
  <c r="K32" i="6"/>
  <c r="F32" i="6"/>
  <c r="E352" i="5" l="1"/>
  <c r="G32" i="6"/>
  <c r="B33" i="6"/>
  <c r="C33" i="6" l="1"/>
  <c r="P352" i="5"/>
  <c r="S352" i="5" s="1"/>
  <c r="F352" i="5"/>
  <c r="G352" i="5" l="1"/>
  <c r="H352" i="5" l="1"/>
  <c r="D353" i="5"/>
  <c r="C353" i="5"/>
  <c r="E353" i="5" l="1"/>
  <c r="F353" i="5" s="1"/>
  <c r="G353" i="5" s="1"/>
  <c r="C354" i="5" l="1"/>
  <c r="D354" i="5"/>
  <c r="H353" i="5"/>
  <c r="P353" i="5"/>
  <c r="S353" i="5" s="1"/>
  <c r="E354" i="5" l="1"/>
  <c r="P354" i="5" l="1"/>
  <c r="S354" i="5" s="1"/>
  <c r="F354" i="5"/>
  <c r="G354" i="5" l="1"/>
  <c r="D355" i="5" l="1"/>
  <c r="C355" i="5"/>
  <c r="H354" i="5"/>
  <c r="E355" i="5" l="1"/>
  <c r="F355" i="5" s="1"/>
  <c r="P355" i="5" l="1"/>
  <c r="S355" i="5" s="1"/>
  <c r="G355" i="5"/>
  <c r="D356" i="5" l="1"/>
  <c r="H355" i="5"/>
  <c r="C356" i="5"/>
  <c r="E356" i="5" l="1"/>
  <c r="F356" i="5" s="1"/>
  <c r="G356" i="5" s="1"/>
  <c r="D357" i="5" l="1"/>
  <c r="H356" i="5"/>
  <c r="C357" i="5"/>
  <c r="P356" i="5"/>
  <c r="S356" i="5" s="1"/>
  <c r="E357" i="5" l="1"/>
  <c r="P357" i="5" s="1"/>
  <c r="S357" i="5" s="1"/>
  <c r="F357" i="5" l="1"/>
  <c r="G357" i="5" s="1"/>
  <c r="C358" i="5" l="1"/>
  <c r="D358" i="5"/>
  <c r="H357" i="5"/>
  <c r="E358" i="5" l="1"/>
  <c r="P358" i="5" s="1"/>
  <c r="S358" i="5" s="1"/>
  <c r="F358" i="5" l="1"/>
  <c r="G358" i="5" s="1"/>
  <c r="D359" i="5" l="1"/>
  <c r="C359" i="5"/>
  <c r="H358" i="5"/>
  <c r="E359" i="5" l="1"/>
  <c r="P359" i="5" s="1"/>
  <c r="S359" i="5" s="1"/>
  <c r="F359" i="5" l="1"/>
  <c r="G359" i="5" s="1"/>
  <c r="D360" i="5" s="1"/>
  <c r="H359" i="5" l="1"/>
  <c r="C360" i="5"/>
  <c r="E360" i="5" s="1"/>
  <c r="P360" i="5" s="1"/>
  <c r="S360" i="5" s="1"/>
  <c r="F360" i="5" l="1"/>
  <c r="G360" i="5" s="1"/>
  <c r="H360" i="5" l="1"/>
  <c r="D361" i="5"/>
  <c r="C361" i="5"/>
  <c r="E361" i="5" l="1"/>
  <c r="P361" i="5" s="1"/>
  <c r="S361" i="5" s="1"/>
  <c r="F361" i="5" l="1"/>
  <c r="G361" i="5" s="1"/>
  <c r="C362" i="5" l="1"/>
  <c r="D362" i="5"/>
  <c r="H361" i="5"/>
  <c r="E362" i="5" l="1"/>
  <c r="P362" i="5" s="1"/>
  <c r="S362" i="5" s="1"/>
  <c r="F362" i="5" l="1"/>
  <c r="G362" i="5" s="1"/>
  <c r="C363" i="5" l="1"/>
  <c r="D363" i="5"/>
  <c r="H362" i="5"/>
  <c r="D364" i="5" l="1"/>
  <c r="E363" i="5"/>
  <c r="E364" i="5" l="1"/>
  <c r="P363" i="5"/>
  <c r="D33" i="6"/>
  <c r="I33" i="6" s="1"/>
  <c r="F363" i="5"/>
  <c r="E33" i="6" l="1"/>
  <c r="G363" i="5"/>
  <c r="H363" i="5" s="1"/>
  <c r="S363" i="5"/>
  <c r="S364" i="5" s="1"/>
  <c r="B26" i="3" s="1"/>
  <c r="P364" i="5"/>
  <c r="B25" i="3" s="1"/>
  <c r="K33" i="6" l="1"/>
  <c r="F33" i="6"/>
  <c r="G33" i="6" s="1"/>
</calcChain>
</file>

<file path=xl/sharedStrings.xml><?xml version="1.0" encoding="utf-8"?>
<sst xmlns="http://schemas.openxmlformats.org/spreadsheetml/2006/main" count="563" uniqueCount="216">
  <si>
    <t>Interest</t>
  </si>
  <si>
    <t>Annual Interest Rate</t>
  </si>
  <si>
    <t>% Capital Outstanding</t>
  </si>
  <si>
    <t>Repayment Number</t>
  </si>
  <si>
    <t>Bond Calculator</t>
  </si>
  <si>
    <t>Input Variables</t>
  </si>
  <si>
    <t>Bond Amount</t>
  </si>
  <si>
    <t>Monthly Bond Repayment</t>
  </si>
  <si>
    <t>Bond Period in Years</t>
  </si>
  <si>
    <t>Remuneration</t>
  </si>
  <si>
    <t>Operational Expenses</t>
  </si>
  <si>
    <t>Gross Salary</t>
  </si>
  <si>
    <t>Rent Paid</t>
  </si>
  <si>
    <t>Subsidies Received</t>
  </si>
  <si>
    <t>Water, Electricity &amp; Services</t>
  </si>
  <si>
    <t>Commission Received</t>
  </si>
  <si>
    <t>Rates &amp; Taxes</t>
  </si>
  <si>
    <t>Enter the average monthly commission received</t>
  </si>
  <si>
    <t>Total Allowances</t>
  </si>
  <si>
    <t>Repairs &amp; Maintenance</t>
  </si>
  <si>
    <t>Other</t>
  </si>
  <si>
    <t>Levies Paid</t>
  </si>
  <si>
    <t>Enter the total of any other remuneration received</t>
  </si>
  <si>
    <t>Deductions</t>
  </si>
  <si>
    <t>Insurance - Short Term</t>
  </si>
  <si>
    <t>Pension</t>
  </si>
  <si>
    <t>Insurance - Life</t>
  </si>
  <si>
    <t>Medical Aid</t>
  </si>
  <si>
    <t>Medical Costs</t>
  </si>
  <si>
    <t>Retirement Annuity</t>
  </si>
  <si>
    <t>Investments - Retirement Annuities</t>
  </si>
  <si>
    <t>Enter the total UIF deducted</t>
  </si>
  <si>
    <t>Income Tax (PAYE)</t>
  </si>
  <si>
    <t>Investments - Other</t>
  </si>
  <si>
    <t>Enter the total SDL deducted</t>
  </si>
  <si>
    <t>Unemployment Fund (UIF)</t>
  </si>
  <si>
    <t>Donations</t>
  </si>
  <si>
    <t>Skills Development Levy (SDL)</t>
  </si>
  <si>
    <t>Education</t>
  </si>
  <si>
    <t>This amount represents the monthly combined net remuneration</t>
  </si>
  <si>
    <t>Other Deductions</t>
  </si>
  <si>
    <t>Fuel &amp; Vehicle Maintenance</t>
  </si>
  <si>
    <t>Total Deductions</t>
  </si>
  <si>
    <t>Enter the monthly average rental income received from existing buy to let properties</t>
  </si>
  <si>
    <t>Net Remuneration</t>
  </si>
  <si>
    <t>Memberships</t>
  </si>
  <si>
    <t>Enter monthly maintenance amount received from a previous spouse</t>
  </si>
  <si>
    <t>Subscriptions</t>
  </si>
  <si>
    <t>Enter the total monthly pension received</t>
  </si>
  <si>
    <t>Other Income</t>
  </si>
  <si>
    <t>Domestic Wages</t>
  </si>
  <si>
    <t>Dividend Income</t>
  </si>
  <si>
    <t>Gardening</t>
  </si>
  <si>
    <t>Rental Income</t>
  </si>
  <si>
    <t>Groceries</t>
  </si>
  <si>
    <t>Enter the monthly rates and taxes paid on properties owned</t>
  </si>
  <si>
    <t>Maintenance</t>
  </si>
  <si>
    <t>Clothing</t>
  </si>
  <si>
    <t>Enter the average monthly repairs and maintenance on existing properties</t>
  </si>
  <si>
    <t>Monthly Pension</t>
  </si>
  <si>
    <t>Entertainment</t>
  </si>
  <si>
    <t>Total Other Income</t>
  </si>
  <si>
    <t>Maintenance Payments</t>
  </si>
  <si>
    <t>Enter the average monthly telephone, cell phone and internet expense</t>
  </si>
  <si>
    <t>Enter the current monthly insurance premium</t>
  </si>
  <si>
    <t>Total Operational Expenses</t>
  </si>
  <si>
    <t>Enter the current monthly life insurance premium</t>
  </si>
  <si>
    <t>Financing Expenses</t>
  </si>
  <si>
    <t>Enter the total monthly premiums associated with retirement annuities</t>
  </si>
  <si>
    <t>Bond Repayments</t>
  </si>
  <si>
    <t>Enter the average monthly payments relating to other investments</t>
  </si>
  <si>
    <t>Personal Loan Instalments</t>
  </si>
  <si>
    <t>Financing - Motor Vehicles</t>
  </si>
  <si>
    <t>Financing - Computers</t>
  </si>
  <si>
    <t>Financing - Furniture</t>
  </si>
  <si>
    <t>Credit Card Repayments</t>
  </si>
  <si>
    <t>Bank Charges</t>
  </si>
  <si>
    <t>Total Financing Expenses</t>
  </si>
  <si>
    <t>Enter the average monthly cost associated with gardening services / landscaping</t>
  </si>
  <si>
    <t>Enter the average monthly grocery spend</t>
  </si>
  <si>
    <t>Net Disposable Income Calculation</t>
  </si>
  <si>
    <t>Enter the average monthly clothing spend</t>
  </si>
  <si>
    <t>Enter the average monthly cost associated with entertainment, take-outs and restaurants</t>
  </si>
  <si>
    <t>Add: Other Income</t>
  </si>
  <si>
    <t>Less: Operational Expenses</t>
  </si>
  <si>
    <t>Less: Financing Expenses</t>
  </si>
  <si>
    <t>Net Disposable Income</t>
  </si>
  <si>
    <t>Input Field Guidance</t>
  </si>
  <si>
    <t>Interest Rate Safety</t>
  </si>
  <si>
    <t>Annual Interest Rate Sensitivity</t>
  </si>
  <si>
    <t>Average Annual Inflation Rate</t>
  </si>
  <si>
    <t>Bond Repayment</t>
  </si>
  <si>
    <t>PV Factor</t>
  </si>
  <si>
    <t>PV Interest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</si>
  <si>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</si>
  <si>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</si>
  <si>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</si>
  <si>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</si>
  <si>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</si>
  <si>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</si>
  <si>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</si>
  <si>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</si>
  <si>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</si>
  <si>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</si>
  <si>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</si>
  <si>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</si>
  <si>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</si>
  <si>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</si>
  <si>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</si>
  <si>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</si>
  <si>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</si>
  <si>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</si>
  <si>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</si>
  <si>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</si>
  <si>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Annual Amortization Table</t>
  </si>
  <si>
    <t>Year 21</t>
  </si>
  <si>
    <t>Year 22</t>
  </si>
  <si>
    <t>Year 23</t>
  </si>
  <si>
    <t>Year 24</t>
  </si>
  <si>
    <t>Year 25</t>
  </si>
  <si>
    <t>Year 26</t>
  </si>
  <si>
    <t>Year 27</t>
  </si>
  <si>
    <t>Year 28</t>
  </si>
  <si>
    <t>Year 29</t>
  </si>
  <si>
    <t>Year 30</t>
  </si>
  <si>
    <t>Total Adjusted Interest over Bond Period</t>
  </si>
  <si>
    <t>Interest Saving</t>
  </si>
  <si>
    <t>Present Value of Interest Saving</t>
  </si>
  <si>
    <t>Amortization</t>
  </si>
  <si>
    <t>Increased Instalment</t>
  </si>
  <si>
    <t>Capital Repayment</t>
  </si>
  <si>
    <t>Minimum Required Net Disposable Income</t>
  </si>
  <si>
    <t>AnnualAmort Sheet</t>
  </si>
  <si>
    <t>NetDisposable Sheet</t>
  </si>
  <si>
    <t>BondCalculator Sheet</t>
  </si>
  <si>
    <t>MonthAmort Sheet</t>
  </si>
  <si>
    <t>Additional Monthly Bond Repayment</t>
  </si>
  <si>
    <t>Enter the average monthly vehicle fuel and maintenance costs</t>
  </si>
  <si>
    <t>Enter the monthly subscription fee applicable to television / cable rentals</t>
  </si>
  <si>
    <t>Enter the total monthly subscription fees applicable to newspapers, magazines, etc.</t>
  </si>
  <si>
    <t>Monthly Amortization Table</t>
  </si>
  <si>
    <t>Instructions</t>
  </si>
  <si>
    <t>The interest rate safety percentage indicates the percentage by which interest rates have to increase before the monthly net disposable income would not be sufficient to cover the required monthly bond repayments.</t>
  </si>
  <si>
    <t>Telephone / Cell Phone / Internet</t>
  </si>
  <si>
    <t>Enter the combined monthly gross household salaries</t>
  </si>
  <si>
    <t>Enter total of all subsidies received as part of remuneration, e.g.. housing subsidy</t>
  </si>
  <si>
    <t>Enter the total monthly allowances received as part of remuneration, e.g.. travel allowance, cell phone allowance, etc.</t>
  </si>
  <si>
    <t>Enter the total monthly pension fund deductions</t>
  </si>
  <si>
    <t>Enter the total monthly medical aid deductions</t>
  </si>
  <si>
    <t>Enter the total monthly retirement annuity contributions</t>
  </si>
  <si>
    <t>Enter the total monthly income tax deducted</t>
  </si>
  <si>
    <t>Enter the total of all other deductions, e.g.. funeral plan</t>
  </si>
  <si>
    <t>Enter the average monthly dividend income</t>
  </si>
  <si>
    <t>Enter the total monthly rent paid. If a primary residence is being acquired and a property is currently being rented, the rent amount should be excluded from the calculation</t>
  </si>
  <si>
    <t>Enter the monthly average for water, electricity and services paid to local government</t>
  </si>
  <si>
    <t>Enter the monthly levy payable to a body corporate for properties that form part of a complex</t>
  </si>
  <si>
    <t>Enter the average monthly medical costs that are not covered by a medical aid</t>
  </si>
  <si>
    <t>Enter the average monthly donations amount</t>
  </si>
  <si>
    <t>Enter the average monthly education cost, e.g.. school fees</t>
  </si>
  <si>
    <t>Enter the monthly average membership cost, e.g.. gym membership</t>
  </si>
  <si>
    <t>Enter the total monthly domestic wages, e.g.. housekeeper wages, gardener wages, etc.</t>
  </si>
  <si>
    <t>Enter a monthly total for maintenance payments relating to estranged spouses and dependents</t>
  </si>
  <si>
    <t>Enter total monthly cost of any other expense items that do not form part of any of the other categories</t>
  </si>
  <si>
    <t>Enter a monthly total for existing bond repayments</t>
  </si>
  <si>
    <t>Enter a monthly total for personal loan repayments</t>
  </si>
  <si>
    <t>Enter a monthly total for motor finance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</si>
  <si>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</si>
  <si>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</si>
  <si>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</si>
  <si>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</si>
  <si>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</si>
  <si>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Total Gross Remuneration</t>
  </si>
  <si>
    <t>Calculation Results</t>
  </si>
  <si>
    <t>Opening Balance</t>
  </si>
  <si>
    <t>Closing Balance</t>
  </si>
  <si>
    <t>Interest Charged</t>
  </si>
  <si>
    <t>Capital Repaid</t>
  </si>
  <si>
    <t>Bond calculators are sometimes also referred to as home loan calculators or mortgage calculators. The aim of this free Excel template is to enable users to calculate monthly bond repayments, determine the affordability of a home loan, calculate the interest savings that result from increased bond instalments and measure the sensitivity of bond repayments to changes in interest rates. After using this template, you will also gain a better understanding of home loan amortization and specifically the timing of capital repayments on a bond.</t>
  </si>
  <si>
    <t>The following sheets are included in this template:</t>
  </si>
  <si>
    <t>Maximum Bond Qualification Amount</t>
  </si>
  <si>
    <t>Increased Instalment Repayment Amount</t>
  </si>
  <si>
    <t>Adjusted Bond Repayment Period (in months)</t>
  </si>
  <si>
    <t>Adjusted Bond Repayment Period (in years)</t>
  </si>
  <si>
    <t>Monthly Difference</t>
  </si>
  <si>
    <t>The maximum bond qualification amount is calculated based on the net disposable income, annual interest rate and bond period. It represents an estimate of the maximum bond amount that applicants can qualify for based on their combined monthly net disposable income. There are a number of other factors that financial institutions will consider when determining the maximum bond qualification amount - our calculation should therefore only be seen as an estimate which cannot be guaranteed.</t>
  </si>
  <si>
    <t>Property Reality | Bond Calculator Template</t>
  </si>
  <si>
    <t>www.propertyreality.co.za</t>
  </si>
  <si>
    <t>Television Subscription</t>
  </si>
  <si>
    <t>Monthly Bond Repayment Table</t>
  </si>
  <si>
    <t>Interest Rate</t>
  </si>
  <si>
    <t>20 Years</t>
  </si>
  <si>
    <t>15 Years</t>
  </si>
  <si>
    <t>30 Years</t>
  </si>
  <si>
    <t>All the calculations in this template are based on the input values that are entered in the cells from cell B4 to B9 on the BondCalculator sheet (except for the net disposable income calculation). Input guidance is displayed below the selected input cell. We have also added data validation to all input cells to ensure that only valid user input is accepted.</t>
  </si>
  <si>
    <t>The monthly bond repayment amount is calculated from the bond amount (cell B4), bond period (cell B6) and the annual interest rate (cell B5).</t>
  </si>
  <si>
    <t>Total Interest Incurred over Bond Period</t>
  </si>
  <si>
    <t>Total Bond Repayments over Bond Period</t>
  </si>
  <si>
    <t>The total bond repayments over the bond period is the sum of all the monthly bond repayment amounts. This amount consists of all interest charges and capital repayments.</t>
  </si>
  <si>
    <t>The monthly net disposable income is calculated on the NetDisposable sheet - refer to this sheet for more information on the calculation.</t>
  </si>
  <si>
    <t>The minimum required net disposable income is the minimum net disposable income that is required in order to qualify for the bond amount that is entered in cell B4.</t>
  </si>
  <si>
    <t>The increased instalment calculations in row 21 to 26 are based on the additional monthly bond repayment that is entered in cell B7. The assumption is made that the full additional bond repayment is deducted from the outstanding capital balance, thereby resulting in a shorter bond repayment period and a saving in interest. Note that the present value of the interest saving is calculated by discounting the monthly interest savings by the average annual inflation rate (specified in cell B9) over the entire bond period. It therefore represents the value of future interest savings in today's monetary terms.</t>
  </si>
  <si>
    <t>The interest rate sensitivity calculation measures the effect that changes in the bond interest rate have on monthly bond repayments. The interest rate sensitivity percentage that is entered in cell B8 is used for this purpose. Refer to the BondRepayment sheet for an analysis of monthly bond repayments.</t>
  </si>
  <si>
    <t>The capital repayment chart is a visual display of the timeline of capital repayments over the entire bond period.</t>
  </si>
  <si>
    <t>The increased instalment interest saving chart is a visual display of the interest savings that result from effecting increased monthly bond instalments.</t>
  </si>
  <si>
    <t>BondRepayment Sheet</t>
  </si>
  <si>
    <t>This sheet includes an analysis of monthly bond repayments based on the input values that are entered on the BondCalculator sheet. No user input is required on this sheet. The monthly bond repayment calculations are based on bond periods of 15, 20 and 30 years and include interest rates in a range of between 3% more and less than the annual bond interest rate that is specified on the BondCalculator sheet.</t>
  </si>
  <si>
    <t>This sheet includes a monthly amortization table that is based on the bond input values that are entered in cell B4 to B6 on the BondCalculator sheet. No user input is required on this sheet.</t>
  </si>
  <si>
    <t>© www.propertyreality.co.za</t>
  </si>
  <si>
    <t>The total interest incurred over the entire bond period is the total interest which has to be paid over the entire bond period.</t>
  </si>
  <si>
    <t>This sheet includes a detailed calculation of the monthly net disposable income. All values should be entered as positive values. Refer to the guidance included from row 38 downwards for more information on the input which is required in each input cell.</t>
  </si>
  <si>
    <t>This sheet includes an annual amortization table which is based on the bond input values that are entered in cell B4 to B6 on the BondCalculator sheet. No user input is required on this sheet. We recommend that you pay special attention to the outstanding capital percentage in column G because it indicates how the capital will be repaid over the entire bond period. You'll notice that during the first few years of the bond repayment period, the monthly bond repayments consist almost entirely of interest charges and during the latter years the interest is reduced as the outstanding bond balance is reduced and the capital portion of the bond repayment therefore increases.</t>
  </si>
  <si>
    <t>Capital 
Repaid</t>
  </si>
  <si>
    <t>Loan 
Repayment</t>
  </si>
  <si>
    <t>Interest 
Charged</t>
  </si>
  <si>
    <t>Closing 
Balance</t>
  </si>
  <si>
    <t>Repayment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</si>
</sst>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00_ ;\-#,##0.000\ "/>
    <numFmt numFmtId="168" formatCode="_ * #,##0.00_ ;_ * \-#,##0.00_ ;_ * &quot;-&quot;???_ ;_ @_ "/>
  </numFmts>
  <fonts count="27" x14ac:knownFonts="1">
    <font>
      <sz val="10"/>
      <name val="Arial"/>
      <charset val="1"/>
    </font>
    <font>
      <sz val="10"/>
      <name val="Arial"/>
      <family val="2"/>
    </font>
    <font>
      <u/>
      <sz val="8"/>
      <color indexed="12"/>
      <name val="Arial"/>
      <family val="2"/>
    </font>
    <font>
      <sz val="8"/>
      <name val="Arial"/>
      <family val="2"/>
    </font>
    <font>
      <sz val="10"/>
      <name val="Arial"/>
      <family val="2"/>
    </font>
    <font>
      <sz val="8"/>
      <name val="Arial"/>
      <family val="2"/>
    </font>
    <font>
      <b/>
      <sz val="12"/>
      <name val="Arial"/>
      <family val="2"/>
    </font>
    <font>
      <b/>
      <u/>
      <sz val="10"/>
      <color rgb="FFFE4A49"/>
      <name val="Arial"/>
      <family val="2"/>
    </font>
    <font>
      <sz val="10"/>
      <name val="Century Gothic"/>
      <family val="2"/>
      <scheme val="minor"/>
    </font>
    <font>
      <b/>
      <sz val="12"/>
      <name val="Century Gothic"/>
      <family val="2"/>
      <scheme val="minor"/>
    </font>
    <font>
      <b/>
      <sz val="10"/>
      <name val="Century Gothic"/>
      <family val="2"/>
      <scheme val="minor"/>
    </font>
    <font>
      <sz val="10"/>
      <color theme="0"/>
      <name val="Century Gothic"/>
      <family val="2"/>
      <scheme val="minor"/>
    </font>
    <font>
      <b/>
      <u/>
      <sz val="10"/>
      <color indexed="53"/>
      <name val="Century Gothic"/>
      <family val="2"/>
      <scheme val="minor"/>
    </font>
    <font>
      <b/>
      <sz val="10"/>
      <color indexed="9"/>
      <name val="Century Gothic"/>
      <family val="2"/>
      <scheme val="minor"/>
    </font>
    <font>
      <sz val="10"/>
      <color indexed="18"/>
      <name val="Century Gothic"/>
      <family val="2"/>
      <scheme val="minor"/>
    </font>
    <font>
      <b/>
      <sz val="10"/>
      <color indexed="18"/>
      <name val="Century Gothic"/>
      <family val="2"/>
      <scheme val="minor"/>
    </font>
    <font>
      <b/>
      <u/>
      <sz val="10"/>
      <color indexed="17"/>
      <name val="Century Gothic"/>
      <family val="2"/>
      <scheme val="minor"/>
    </font>
    <font>
      <sz val="10"/>
      <color indexed="8"/>
      <name val="Century Gothic"/>
      <family val="2"/>
      <scheme val="minor"/>
    </font>
    <font>
      <b/>
      <sz val="10"/>
      <color indexed="8"/>
      <name val="Century Gothic"/>
      <family val="2"/>
      <scheme val="minor"/>
    </font>
    <font>
      <sz val="10"/>
      <color indexed="12"/>
      <name val="Century Gothic"/>
      <family val="2"/>
      <scheme val="minor"/>
    </font>
    <font>
      <b/>
      <sz val="10"/>
      <color indexed="12"/>
      <name val="Century Gothic"/>
      <family val="2"/>
      <scheme val="minor"/>
    </font>
    <font>
      <i/>
      <sz val="10"/>
      <name val="Century Gothic"/>
      <family val="2"/>
      <scheme val="minor"/>
    </font>
    <font>
      <sz val="10"/>
      <color indexed="9"/>
      <name val="Century Gothic"/>
      <family val="2"/>
      <scheme val="minor"/>
    </font>
    <font>
      <b/>
      <sz val="12"/>
      <color indexed="8"/>
      <name val="Century Gothic"/>
      <family val="2"/>
      <scheme val="minor"/>
    </font>
    <font>
      <b/>
      <sz val="10"/>
      <name val="Arial"/>
      <family val="2"/>
    </font>
    <font>
      <i/>
      <sz val="10"/>
      <name val="Arial"/>
      <family val="2"/>
    </font>
    <font>
      <b/>
      <u/>
      <sz val="10"/>
      <color indexed="17"/>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8"/>
      </left>
      <right style="thin">
        <color indexed="64"/>
      </right>
      <top style="thin">
        <color indexed="64"/>
      </top>
      <bottom style="thin">
        <color indexed="64"/>
      </bottom>
      <diagonal/>
    </border>
  </borders>
  <cellStyleXfs count="7">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alignment wrapText="1"/>
    </xf>
  </cellStyleXfs>
  <cellXfs count="91">
    <xf numFmtId="0" fontId="0" fillId="0" borderId="0" xfId="0">
      <alignment wrapText="1"/>
    </xf>
    <xf numFmtId="0" fontId="6" fillId="0" borderId="0" xfId="0" applyFont="1" applyAlignment="1" applyProtection="1">
      <protection hidden="1"/>
    </xf>
    <xf numFmtId="0" fontId="7" fillId="0" borderId="0" xfId="2" applyFont="1" applyAlignment="1" applyProtection="1">
      <alignment horizontal="left" wrapText="1"/>
      <protection hidden="1"/>
    </xf>
    <xf numFmtId="0" fontId="8" fillId="0" borderId="0" xfId="0" applyFont="1" applyProtection="1">
      <alignment wrapText="1"/>
      <protection hidden="1"/>
    </xf>
    <xf numFmtId="0" fontId="9" fillId="0" borderId="0" xfId="0" applyFont="1" applyAlignment="1" applyProtection="1">
      <protection hidden="1"/>
    </xf>
    <xf numFmtId="165" fontId="9" fillId="0" borderId="0" xfId="6" applyNumberFormat="1" applyFont="1" applyAlignment="1" applyProtection="1">
      <alignment horizontal="left"/>
      <protection hidden="1"/>
    </xf>
    <xf numFmtId="0" fontId="8" fillId="0" borderId="0" xfId="0" applyFont="1" applyAlignment="1" applyProtection="1">
      <protection hidden="1"/>
    </xf>
    <xf numFmtId="0" fontId="11" fillId="0" borderId="0" xfId="3" applyFont="1" applyProtection="1">
      <protection hidden="1"/>
    </xf>
    <xf numFmtId="165" fontId="10" fillId="3" borderId="1" xfId="6" applyNumberFormat="1"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165" fontId="8" fillId="0" borderId="0" xfId="6" applyNumberFormat="1" applyFont="1" applyAlignment="1" applyProtection="1">
      <alignment horizontal="center"/>
      <protection hidden="1"/>
    </xf>
    <xf numFmtId="164" fontId="8" fillId="0" borderId="0" xfId="1" applyFont="1" applyAlignment="1" applyProtection="1">
      <protection hidden="1"/>
    </xf>
    <xf numFmtId="0" fontId="10" fillId="0" borderId="0" xfId="0" applyFont="1" applyAlignment="1" applyProtection="1">
      <protection hidden="1"/>
    </xf>
    <xf numFmtId="0" fontId="12" fillId="0" borderId="0" xfId="2" applyFont="1" applyAlignment="1" applyProtection="1">
      <alignment horizontal="right"/>
      <protection hidden="1"/>
    </xf>
    <xf numFmtId="164" fontId="8" fillId="2" borderId="5" xfId="1" applyFont="1" applyFill="1" applyBorder="1" applyAlignment="1" applyProtection="1">
      <protection hidden="1"/>
    </xf>
    <xf numFmtId="10" fontId="8" fillId="2" borderId="5" xfId="0" applyNumberFormat="1" applyFont="1" applyFill="1" applyBorder="1" applyAlignment="1" applyProtection="1">
      <protection hidden="1"/>
    </xf>
    <xf numFmtId="166" fontId="8" fillId="2" borderId="5" xfId="1" applyNumberFormat="1" applyFont="1" applyFill="1" applyBorder="1" applyAlignment="1" applyProtection="1">
      <protection hidden="1"/>
    </xf>
    <xf numFmtId="10" fontId="8" fillId="2" borderId="5" xfId="1" applyNumberFormat="1" applyFont="1" applyFill="1" applyBorder="1" applyAlignment="1" applyProtection="1">
      <protection hidden="1"/>
    </xf>
    <xf numFmtId="165" fontId="8" fillId="2" borderId="5" xfId="1" applyNumberFormat="1" applyFont="1" applyFill="1" applyBorder="1" applyAlignment="1" applyProtection="1">
      <protection hidden="1"/>
    </xf>
    <xf numFmtId="164" fontId="8" fillId="0" borderId="0" xfId="0" applyNumberFormat="1" applyFont="1" applyAlignment="1" applyProtection="1">
      <protection hidden="1"/>
    </xf>
    <xf numFmtId="166" fontId="8" fillId="0" borderId="0" xfId="0" applyNumberFormat="1" applyFont="1" applyAlignment="1" applyProtection="1">
      <protection hidden="1"/>
    </xf>
    <xf numFmtId="10" fontId="8" fillId="0" borderId="0" xfId="6" applyNumberFormat="1" applyFont="1" applyAlignment="1" applyProtection="1">
      <protection hidden="1"/>
    </xf>
    <xf numFmtId="0" fontId="9" fillId="0" borderId="0" xfId="4" applyFont="1" applyAlignment="1" applyProtection="1">
      <alignment horizontal="left"/>
      <protection hidden="1"/>
    </xf>
    <xf numFmtId="0" fontId="14" fillId="0" borderId="0" xfId="4" applyFont="1" applyProtection="1">
      <protection hidden="1"/>
    </xf>
    <xf numFmtId="0" fontId="10" fillId="0" borderId="0" xfId="4" applyFont="1" applyAlignment="1" applyProtection="1">
      <alignment horizontal="left"/>
      <protection hidden="1"/>
    </xf>
    <xf numFmtId="0" fontId="8" fillId="0" borderId="0" xfId="4" applyFont="1" applyProtection="1">
      <protection hidden="1"/>
    </xf>
    <xf numFmtId="0" fontId="16" fillId="0" borderId="0" xfId="2" applyFont="1" applyAlignment="1" applyProtection="1">
      <alignment horizontal="right"/>
      <protection hidden="1"/>
    </xf>
    <xf numFmtId="0" fontId="11" fillId="0" borderId="0" xfId="3" applyFont="1" applyAlignment="1" applyProtection="1">
      <alignment horizontal="right"/>
      <protection hidden="1"/>
    </xf>
    <xf numFmtId="0" fontId="10" fillId="0" borderId="0" xfId="4" applyFont="1" applyProtection="1">
      <protection hidden="1"/>
    </xf>
    <xf numFmtId="166" fontId="8" fillId="0" borderId="0" xfId="1" applyNumberFormat="1" applyFont="1" applyBorder="1" applyAlignment="1" applyProtection="1">
      <protection hidden="1"/>
    </xf>
    <xf numFmtId="0" fontId="14" fillId="0" borderId="0" xfId="1" applyNumberFormat="1" applyFont="1" applyBorder="1" applyAlignment="1" applyProtection="1">
      <alignment horizontal="center"/>
      <protection hidden="1"/>
    </xf>
    <xf numFmtId="166" fontId="8" fillId="2" borderId="1" xfId="1" applyNumberFormat="1" applyFont="1" applyFill="1" applyBorder="1" applyAlignment="1" applyProtection="1">
      <protection hidden="1"/>
    </xf>
    <xf numFmtId="0" fontId="17" fillId="0" borderId="0" xfId="4" applyFont="1" applyProtection="1">
      <protection hidden="1"/>
    </xf>
    <xf numFmtId="166" fontId="10" fillId="3" borderId="1" xfId="1" applyNumberFormat="1" applyFont="1" applyFill="1" applyBorder="1" applyAlignment="1" applyProtection="1">
      <protection hidden="1"/>
    </xf>
    <xf numFmtId="0" fontId="18" fillId="0" borderId="0" xfId="4" applyFont="1" applyProtection="1">
      <protection hidden="1"/>
    </xf>
    <xf numFmtId="0" fontId="19" fillId="0" borderId="0" xfId="4" applyFont="1" applyProtection="1">
      <protection hidden="1"/>
    </xf>
    <xf numFmtId="0" fontId="15" fillId="0" borderId="0" xfId="4" applyFont="1" applyProtection="1">
      <protection hidden="1"/>
    </xf>
    <xf numFmtId="166" fontId="10" fillId="0" borderId="0" xfId="1" applyNumberFormat="1" applyFont="1" applyBorder="1" applyAlignment="1" applyProtection="1">
      <protection hidden="1"/>
    </xf>
    <xf numFmtId="0" fontId="8" fillId="0" borderId="2" xfId="4" applyFont="1" applyBorder="1" applyProtection="1">
      <protection hidden="1"/>
    </xf>
    <xf numFmtId="166" fontId="8" fillId="0" borderId="2" xfId="1" applyNumberFormat="1" applyFont="1" applyBorder="1" applyAlignment="1" applyProtection="1">
      <protection hidden="1"/>
    </xf>
    <xf numFmtId="0" fontId="19" fillId="0" borderId="2" xfId="4" applyFont="1" applyBorder="1" applyProtection="1">
      <protection hidden="1"/>
    </xf>
    <xf numFmtId="0" fontId="14" fillId="0" borderId="2" xfId="4" applyFont="1" applyBorder="1" applyProtection="1">
      <protection hidden="1"/>
    </xf>
    <xf numFmtId="166" fontId="8" fillId="0" borderId="0" xfId="1" applyNumberFormat="1" applyFont="1" applyAlignment="1" applyProtection="1">
      <protection hidden="1"/>
    </xf>
    <xf numFmtId="166" fontId="10" fillId="3" borderId="3" xfId="1" applyNumberFormat="1" applyFont="1" applyFill="1" applyBorder="1" applyAlignment="1" applyProtection="1">
      <protection hidden="1"/>
    </xf>
    <xf numFmtId="0" fontId="20" fillId="0" borderId="0" xfId="4" applyFont="1" applyProtection="1">
      <protection hidden="1"/>
    </xf>
    <xf numFmtId="166" fontId="20" fillId="0" borderId="0" xfId="1" applyNumberFormat="1" applyFont="1" applyBorder="1" applyAlignment="1" applyProtection="1">
      <protection hidden="1"/>
    </xf>
    <xf numFmtId="0" fontId="10" fillId="0" borderId="0" xfId="4" applyFont="1" applyAlignment="1" applyProtection="1">
      <alignment wrapText="1"/>
      <protection hidden="1"/>
    </xf>
    <xf numFmtId="0" fontId="21" fillId="0" borderId="0" xfId="4" applyFont="1" applyProtection="1">
      <protection hidden="1"/>
    </xf>
    <xf numFmtId="0" fontId="9" fillId="0" borderId="0" xfId="0" applyFont="1" applyAlignment="1" applyProtection="1">
      <alignment horizontal="left"/>
      <protection hidden="1"/>
    </xf>
    <xf numFmtId="0" fontId="22" fillId="0" borderId="0" xfId="0" applyFont="1" applyAlignment="1" applyProtection="1">
      <protection hidden="1"/>
    </xf>
    <xf numFmtId="164" fontId="22" fillId="0" borderId="0" xfId="1" applyFont="1" applyAlignment="1" applyProtection="1">
      <protection hidden="1"/>
    </xf>
    <xf numFmtId="165" fontId="8" fillId="0" borderId="0" xfId="6" applyNumberFormat="1" applyFont="1" applyAlignment="1" applyProtection="1">
      <protection hidden="1"/>
    </xf>
    <xf numFmtId="0" fontId="10" fillId="3" borderId="1" xfId="0" applyFont="1" applyFill="1" applyBorder="1" applyAlignment="1" applyProtection="1">
      <alignment horizontal="center" wrapText="1"/>
      <protection hidden="1"/>
    </xf>
    <xf numFmtId="164" fontId="10" fillId="3" borderId="1" xfId="1" applyFont="1" applyFill="1" applyBorder="1" applyAlignment="1" applyProtection="1">
      <alignment horizontal="center" wrapText="1"/>
      <protection hidden="1"/>
    </xf>
    <xf numFmtId="165" fontId="10" fillId="3" borderId="1" xfId="6" applyNumberFormat="1" applyFont="1" applyFill="1" applyBorder="1" applyAlignment="1" applyProtection="1">
      <alignment horizontal="center" wrapText="1"/>
      <protection hidden="1"/>
    </xf>
    <xf numFmtId="0" fontId="13" fillId="0" borderId="0" xfId="0" applyFont="1" applyAlignment="1" applyProtection="1">
      <alignment horizontal="center" wrapText="1"/>
      <protection hidden="1"/>
    </xf>
    <xf numFmtId="164" fontId="13" fillId="0" borderId="0" xfId="1" applyFont="1" applyBorder="1" applyAlignment="1" applyProtection="1">
      <alignment horizontal="center" wrapText="1"/>
      <protection hidden="1"/>
    </xf>
    <xf numFmtId="0" fontId="8" fillId="0" borderId="0" xfId="0" applyFont="1" applyAlignment="1" applyProtection="1">
      <alignment horizontal="center"/>
      <protection hidden="1"/>
    </xf>
    <xf numFmtId="164" fontId="22" fillId="0" borderId="0" xfId="0" applyNumberFormat="1" applyFont="1" applyAlignment="1" applyProtection="1">
      <protection hidden="1"/>
    </xf>
    <xf numFmtId="0" fontId="23" fillId="0" borderId="0" xfId="0" applyFont="1" applyAlignment="1" applyProtection="1">
      <protection hidden="1"/>
    </xf>
    <xf numFmtId="0" fontId="8" fillId="0" borderId="0" xfId="5" applyFont="1" applyProtection="1">
      <protection hidden="1"/>
    </xf>
    <xf numFmtId="0" fontId="22" fillId="0" borderId="0" xfId="5" applyFont="1" applyProtection="1">
      <protection hidden="1"/>
    </xf>
    <xf numFmtId="167" fontId="22" fillId="0" borderId="0" xfId="1" applyNumberFormat="1" applyFont="1" applyAlignment="1" applyProtection="1">
      <protection hidden="1"/>
    </xf>
    <xf numFmtId="168" fontId="22" fillId="0" borderId="0" xfId="5" applyNumberFormat="1" applyFont="1" applyProtection="1">
      <protection hidden="1"/>
    </xf>
    <xf numFmtId="0" fontId="10" fillId="0" borderId="0" xfId="5" applyFont="1" applyAlignment="1" applyProtection="1">
      <alignment horizontal="center" wrapText="1"/>
      <protection hidden="1"/>
    </xf>
    <xf numFmtId="0" fontId="10" fillId="3" borderId="1" xfId="3" applyFont="1" applyFill="1" applyBorder="1" applyAlignment="1" applyProtection="1">
      <alignment horizontal="center" wrapText="1"/>
      <protection hidden="1"/>
    </xf>
    <xf numFmtId="10" fontId="10" fillId="3" borderId="1" xfId="6" applyNumberFormat="1" applyFont="1" applyFill="1" applyBorder="1" applyAlignment="1" applyProtection="1">
      <alignment horizontal="center" wrapText="1"/>
      <protection hidden="1"/>
    </xf>
    <xf numFmtId="165" fontId="10" fillId="0" borderId="0" xfId="6" applyNumberFormat="1" applyFont="1" applyAlignment="1" applyProtection="1">
      <alignment horizontal="center" wrapText="1"/>
      <protection hidden="1"/>
    </xf>
    <xf numFmtId="164" fontId="13" fillId="0" borderId="0" xfId="1" applyFont="1" applyAlignment="1" applyProtection="1">
      <alignment horizontal="center" wrapText="1"/>
      <protection hidden="1"/>
    </xf>
    <xf numFmtId="167" fontId="13" fillId="0" borderId="0" xfId="1" applyNumberFormat="1" applyFont="1" applyAlignment="1" applyProtection="1">
      <alignment horizontal="center" wrapText="1"/>
      <protection hidden="1"/>
    </xf>
    <xf numFmtId="168" fontId="13" fillId="0" borderId="0" xfId="5" applyNumberFormat="1" applyFont="1" applyAlignment="1" applyProtection="1">
      <alignment horizontal="center" wrapText="1"/>
      <protection hidden="1"/>
    </xf>
    <xf numFmtId="0" fontId="8" fillId="0" borderId="0" xfId="5" applyFont="1" applyAlignment="1" applyProtection="1">
      <alignment horizontal="center"/>
      <protection hidden="1"/>
    </xf>
    <xf numFmtId="164" fontId="22" fillId="0" borderId="0" xfId="5" applyNumberFormat="1" applyFont="1" applyProtection="1">
      <protection hidden="1"/>
    </xf>
    <xf numFmtId="0" fontId="1" fillId="0" borderId="0" xfId="0" applyFont="1" applyAlignment="1" applyProtection="1">
      <alignment horizontal="justify" vertical="center" wrapText="1"/>
      <protection hidden="1"/>
    </xf>
    <xf numFmtId="0" fontId="1" fillId="0" borderId="0" xfId="0" applyFont="1" applyProtection="1">
      <alignment wrapText="1"/>
      <protection hidden="1"/>
    </xf>
    <xf numFmtId="0" fontId="1" fillId="0" borderId="0" xfId="0" applyFont="1" applyAlignment="1" applyProtection="1">
      <alignment horizontal="justify" wrapText="1"/>
      <protection hidden="1"/>
    </xf>
    <xf numFmtId="0" fontId="25" fillId="0" borderId="0" xfId="0" applyFont="1" applyAlignment="1" applyProtection="1">
      <protection hidden="1"/>
    </xf>
    <xf numFmtId="0" fontId="26" fillId="0" borderId="0" xfId="2" applyFont="1" applyAlignment="1" applyProtection="1">
      <alignment horizontal="right"/>
      <protection hidden="1"/>
    </xf>
    <xf numFmtId="0" fontId="24" fillId="0" borderId="0" xfId="0" applyFont="1" applyProtection="1">
      <alignment wrapText="1"/>
      <protection hidden="1"/>
    </xf>
    <xf numFmtId="0" fontId="25" fillId="0" borderId="0" xfId="0" applyFont="1" applyAlignment="1" applyProtection="1">
      <alignment horizontal="justify" vertical="center" wrapText="1"/>
      <protection hidden="1"/>
    </xf>
    <xf numFmtId="0" fontId="24" fillId="0" borderId="0" xfId="0" applyFont="1" applyAlignment="1" applyProtection="1">
      <alignment horizontal="justify" vertical="center" wrapText="1"/>
      <protection hidden="1"/>
    </xf>
    <xf numFmtId="0" fontId="13" fillId="4" borderId="4" xfId="0" applyFont="1" applyFill="1" applyBorder="1" applyAlignment="1" applyProtection="1">
      <protection hidden="1"/>
    </xf>
    <xf numFmtId="0" fontId="8" fillId="0" borderId="0" xfId="1"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0" fontId="8" fillId="0" borderId="2" xfId="1" applyNumberFormat="1" applyFont="1" applyFill="1" applyBorder="1" applyAlignment="1" applyProtection="1">
      <alignment horizontal="center"/>
      <protection hidden="1"/>
    </xf>
    <xf numFmtId="0" fontId="8" fillId="0" borderId="0" xfId="1" applyNumberFormat="1" applyFont="1" applyFill="1" applyAlignment="1" applyProtection="1">
      <alignment horizontal="center"/>
      <protection hidden="1"/>
    </xf>
    <xf numFmtId="0" fontId="8" fillId="0" borderId="0" xfId="1" applyNumberFormat="1" applyFont="1" applyBorder="1" applyAlignment="1" applyProtection="1">
      <alignment horizontal="center"/>
      <protection hidden="1"/>
    </xf>
    <xf numFmtId="0" fontId="8" fillId="0" borderId="2" xfId="1" applyNumberFormat="1" applyFont="1" applyBorder="1" applyAlignment="1" applyProtection="1">
      <alignment horizontal="center"/>
      <protection hidden="1"/>
    </xf>
    <xf numFmtId="0" fontId="8" fillId="0" borderId="0" xfId="1" applyNumberFormat="1" applyFont="1" applyAlignment="1" applyProtection="1">
      <alignment horizontal="center"/>
      <protection hidden="1"/>
    </xf>
    <xf numFmtId="0" fontId="10" fillId="0" borderId="0" xfId="1" applyNumberFormat="1" applyFont="1" applyBorder="1" applyAlignment="1" applyProtection="1">
      <alignment horizontal="center"/>
      <protection hidden="1"/>
    </xf>
  </cellXfs>
  <cellStyles count="7">
    <cellStyle name="Comma" xfId="1" builtinId="3"/>
    <cellStyle name="Hyperlink" xfId="2" builtinId="8"/>
    <cellStyle name="Normal" xfId="0" builtinId="0"/>
    <cellStyle name="Normal_Amortisation" xfId="3" xr:uid="{00000000-0005-0000-0000-000003000000}"/>
    <cellStyle name="Normal_Max Bond Amount" xfId="4" xr:uid="{00000000-0005-0000-0000-000004000000}"/>
    <cellStyle name="Normal_Web Site Outlay" xfId="5" xr:uid="{00000000-0005-0000-0000-00000500000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Increased Instalment - Interest Saving</a:t>
            </a:r>
          </a:p>
        </c:rich>
      </c:tx>
      <c:layout>
        <c:manualLayout>
          <c:xMode val="edge"/>
          <c:yMode val="edge"/>
          <c:x val="1.9204934780320211E-2"/>
          <c:y val="1.3896666666666667E-2"/>
        </c:manualLayout>
      </c:layout>
      <c:overlay val="0"/>
      <c:spPr>
        <a:noFill/>
        <a:ln>
          <a:noFill/>
        </a:ln>
        <a:effectLst/>
      </c:spPr>
      <c:txPr>
        <a:bodyPr rot="0" spcFirstLastPara="1" vertOverflow="ellipsis" vert="horz" wrap="square" anchor="ctr" anchorCtr="1"/>
        <a:lstStyle/>
        <a:p>
          <a:pPr>
            <a:defRPr sz="14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107692307692308"/>
          <c:y val="0.21282333333333334"/>
          <c:w val="0.85538461538461563"/>
          <c:h val="0.67153296296296294"/>
        </c:manualLayout>
      </c:layout>
      <c:areaChart>
        <c:grouping val="standard"/>
        <c:varyColors val="0"/>
        <c:ser>
          <c:idx val="1"/>
          <c:order val="0"/>
          <c:tx>
            <c:strRef>
              <c:f>AnnualAmort!$I$3</c:f>
              <c:strCache>
                <c:ptCount val="1"/>
                <c:pt idx="0">
                  <c:v>Amortization</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val>
            <c:numRef>
              <c:f>AnnualAmort!$I$4:$I$33</c:f>
              <c:numCache>
                <c:formatCode>_ * #,##0.00_ ;_ * \-#,##0.00_ ;_ * "-"??_ ;_ @_ </c:formatCode>
                <c:ptCount val="30"/>
                <c:pt idx="0">
                  <c:v>285734.92991092906</c:v>
                </c:pt>
                <c:pt idx="1">
                  <c:v>567323.52326130401</c:v>
                </c:pt>
                <c:pt idx="2">
                  <c:v>844262.99806555815</c:v>
                </c:pt>
                <c:pt idx="3">
                  <c:v>1115989.6053323545</c:v>
                </c:pt>
                <c:pt idx="4">
                  <c:v>1381871.2362464289</c:v>
                </c:pt>
                <c:pt idx="5">
                  <c:v>1641199.1329022676</c:v>
                </c:pt>
                <c:pt idx="6">
                  <c:v>1893178.5938869216</c:v>
                </c:pt>
                <c:pt idx="7">
                  <c:v>2136918.5528280381</c:v>
                </c:pt>
                <c:pt idx="8">
                  <c:v>2371419.8932436253</c:v>
                </c:pt>
                <c:pt idx="9">
                  <c:v>2595562.3464583545</c:v>
                </c:pt>
                <c:pt idx="10">
                  <c:v>2808089.8007699922</c:v>
                </c:pt>
                <c:pt idx="11">
                  <c:v>3007593.8292152253</c:v>
                </c:pt>
                <c:pt idx="12">
                  <c:v>3192495.2199234385</c:v>
                </c:pt>
                <c:pt idx="13">
                  <c:v>3361023.2668535979</c:v>
                </c:pt>
                <c:pt idx="14">
                  <c:v>3511192.5493398043</c:v>
                </c:pt>
                <c:pt idx="15">
                  <c:v>3640776.8959401394</c:v>
                </c:pt>
                <c:pt idx="16">
                  <c:v>3747280.1911593187</c:v>
                </c:pt>
                <c:pt idx="17">
                  <c:v>3827903.6422141436</c:v>
                </c:pt>
                <c:pt idx="18">
                  <c:v>3879509.0765889287</c:v>
                </c:pt>
                <c:pt idx="19">
                  <c:v>3898577.7890771539</c:v>
                </c:pt>
                <c:pt idx="20">
                  <c:v>3898577.7890771539</c:v>
                </c:pt>
                <c:pt idx="21">
                  <c:v>3898577.7890771539</c:v>
                </c:pt>
                <c:pt idx="22">
                  <c:v>3898577.7890771539</c:v>
                </c:pt>
                <c:pt idx="23">
                  <c:v>3898577.7890771539</c:v>
                </c:pt>
                <c:pt idx="24">
                  <c:v>3898577.7890771539</c:v>
                </c:pt>
                <c:pt idx="25">
                  <c:v>3898577.7890771539</c:v>
                </c:pt>
                <c:pt idx="26">
                  <c:v>3898577.7890771539</c:v>
                </c:pt>
                <c:pt idx="27">
                  <c:v>3898577.7890771539</c:v>
                </c:pt>
                <c:pt idx="28">
                  <c:v>3898577.7890771539</c:v>
                </c:pt>
                <c:pt idx="29">
                  <c:v>3898577.7890771539</c:v>
                </c:pt>
              </c:numCache>
            </c:numRef>
          </c:val>
          <c:extLst>
            <c:ext xmlns:c16="http://schemas.microsoft.com/office/drawing/2014/chart" uri="{C3380CC4-5D6E-409C-BE32-E72D297353CC}">
              <c16:uniqueId val="{00000000-4D0C-4212-A844-BE0ECCF56463}"/>
            </c:ext>
          </c:extLst>
        </c:ser>
        <c:ser>
          <c:idx val="2"/>
          <c:order val="1"/>
          <c:tx>
            <c:strRef>
              <c:f>AnnualAmort!$J$3</c:f>
              <c:strCache>
                <c:ptCount val="1"/>
                <c:pt idx="0">
                  <c:v> Increased Instalment </c:v>
                </c:pt>
              </c:strCache>
            </c:strRef>
          </c:tx>
          <c:spPr>
            <a:gradFill rotWithShape="1">
              <a:gsLst>
                <a:gs pos="0">
                  <a:schemeClr val="accent3">
                    <a:tint val="98000"/>
                    <a:hueMod val="94000"/>
                    <a:satMod val="130000"/>
                    <a:lumMod val="128000"/>
                  </a:schemeClr>
                </a:gs>
                <a:gs pos="100000">
                  <a:schemeClr val="accent3">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val>
            <c:numRef>
              <c:f>AnnualAmort!$J$4:$J$33</c:f>
              <c:numCache>
                <c:formatCode>_ * #,##0.00_ ;_ * \-#,##0.00_ ;_ * "-"??_ ;_ @_ </c:formatCode>
                <c:ptCount val="30"/>
                <c:pt idx="0">
                  <c:v>284428.63534299523</c:v>
                </c:pt>
                <c:pt idx="1">
                  <c:v>561642.30984846607</c:v>
                </c:pt>
                <c:pt idx="2">
                  <c:v>830766.14221271209</c:v>
                </c:pt>
                <c:pt idx="3">
                  <c:v>1090819.1636129457</c:v>
                </c:pt>
                <c:pt idx="4">
                  <c:v>1340701.4536060041</c:v>
                </c:pt>
                <c:pt idx="5">
                  <c:v>1579179.716134781</c:v>
                </c:pt>
                <c:pt idx="6">
                  <c:v>1804871.1064908898</c:v>
                </c:pt>
                <c:pt idx="7">
                  <c:v>2016225.0971456862</c:v>
                </c:pt>
                <c:pt idx="8">
                  <c:v>2211503.1446441426</c:v>
                </c:pt>
                <c:pt idx="9">
                  <c:v>2388755.8909199364</c:v>
                </c:pt>
                <c:pt idx="10">
                  <c:v>2545797.600057323</c:v>
                </c:pt>
                <c:pt idx="11">
                  <c:v>2680177.4952719253</c:v>
                </c:pt>
                <c:pt idx="12">
                  <c:v>2789147.620233079</c:v>
                </c:pt>
                <c:pt idx="13">
                  <c:v>2869626.8032717076</c:v>
                </c:pt>
                <c:pt idx="14">
                  <c:v>2918160.2519122688</c:v>
                </c:pt>
                <c:pt idx="15">
                  <c:v>2931420.8416444021</c:v>
                </c:pt>
                <c:pt idx="16">
                  <c:v>2931420.8416444021</c:v>
                </c:pt>
                <c:pt idx="17">
                  <c:v>2931420.8416444021</c:v>
                </c:pt>
                <c:pt idx="18">
                  <c:v>2931420.8416444021</c:v>
                </c:pt>
                <c:pt idx="19">
                  <c:v>2931420.8416444021</c:v>
                </c:pt>
                <c:pt idx="20">
                  <c:v>2931420.8416444021</c:v>
                </c:pt>
                <c:pt idx="21">
                  <c:v>2931420.8416444021</c:v>
                </c:pt>
                <c:pt idx="22">
                  <c:v>2931420.8416444021</c:v>
                </c:pt>
                <c:pt idx="23">
                  <c:v>2931420.8416444021</c:v>
                </c:pt>
                <c:pt idx="24">
                  <c:v>2931420.8416444021</c:v>
                </c:pt>
                <c:pt idx="25">
                  <c:v>2931420.8416444021</c:v>
                </c:pt>
                <c:pt idx="26">
                  <c:v>2931420.8416444021</c:v>
                </c:pt>
                <c:pt idx="27">
                  <c:v>2931420.8416444021</c:v>
                </c:pt>
                <c:pt idx="28">
                  <c:v>2931420.8416444021</c:v>
                </c:pt>
                <c:pt idx="29">
                  <c:v>2931420.8416444021</c:v>
                </c:pt>
              </c:numCache>
            </c:numRef>
          </c:val>
          <c:extLst>
            <c:ext xmlns:c16="http://schemas.microsoft.com/office/drawing/2014/chart" uri="{C3380CC4-5D6E-409C-BE32-E72D297353CC}">
              <c16:uniqueId val="{00000001-4D0C-4212-A844-BE0ECCF56463}"/>
            </c:ext>
          </c:extLst>
        </c:ser>
        <c:dLbls>
          <c:showLegendKey val="0"/>
          <c:showVal val="0"/>
          <c:showCatName val="0"/>
          <c:showSerName val="0"/>
          <c:showPercent val="0"/>
          <c:showBubbleSize val="0"/>
        </c:dLbls>
        <c:axId val="370411624"/>
        <c:axId val="370408880"/>
      </c:areaChart>
      <c:catAx>
        <c:axId val="370411624"/>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Years</a:t>
                </a:r>
              </a:p>
            </c:rich>
          </c:tx>
          <c:layout>
            <c:manualLayout>
              <c:xMode val="edge"/>
              <c:yMode val="edge"/>
              <c:x val="2.7692307692307707E-2"/>
              <c:y val="0.90816628190862103"/>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0408880"/>
        <c:crosses val="autoZero"/>
        <c:auto val="1"/>
        <c:lblAlgn val="ctr"/>
        <c:lblOffset val="100"/>
        <c:tickLblSkip val="3"/>
        <c:tickMarkSkip val="1"/>
        <c:noMultiLvlLbl val="0"/>
      </c:catAx>
      <c:valAx>
        <c:axId val="37040888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0411624"/>
        <c:crosses val="autoZero"/>
        <c:crossBetween val="midCat"/>
      </c:valAx>
      <c:spPr>
        <a:noFill/>
        <a:ln>
          <a:noFill/>
        </a:ln>
        <a:effectLst/>
      </c:spPr>
    </c:plotArea>
    <c:legend>
      <c:legendPos val="b"/>
      <c:layout>
        <c:manualLayout>
          <c:xMode val="edge"/>
          <c:yMode val="edge"/>
          <c:x val="0.60071652526963526"/>
          <c:y val="0.10665111111111111"/>
          <c:w val="0.38266932624113476"/>
          <c:h val="7.81411111111111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3675407682811287E-2"/>
          <c:y val="1.7182222222222224E-2"/>
        </c:manualLayout>
      </c:layout>
      <c:overlay val="0"/>
      <c:spPr>
        <a:noFill/>
        <a:ln>
          <a:noFill/>
        </a:ln>
        <a:effectLst/>
      </c:spPr>
      <c:txPr>
        <a:bodyPr rot="0" spcFirstLastPara="1" vertOverflow="ellipsis" vert="horz" wrap="square" anchor="ctr" anchorCtr="1"/>
        <a:lstStyle/>
        <a:p>
          <a:pPr>
            <a:defRPr sz="14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1538461538461539"/>
          <c:y val="0.19426740740740742"/>
          <c:w val="0.85692307692307734"/>
          <c:h val="0.68889703703703709"/>
        </c:manualLayout>
      </c:layout>
      <c:areaChart>
        <c:grouping val="standard"/>
        <c:varyColors val="0"/>
        <c:ser>
          <c:idx val="1"/>
          <c:order val="0"/>
          <c:tx>
            <c:strRef>
              <c:f>AnnualAmort!$K$3</c:f>
              <c:strCache>
                <c:ptCount val="1"/>
                <c:pt idx="0">
                  <c:v>Capital Repayment</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val>
            <c:numRef>
              <c:f>AnnualAmort!$K$4:$K$33</c:f>
              <c:numCache>
                <c:formatCode>_ * #,##0.00_ ;_ * \-#,##0.00_ ;_ * "-"??_ ;_ @_ </c:formatCode>
                <c:ptCount val="30"/>
                <c:pt idx="0">
                  <c:v>34193.959542928606</c:v>
                </c:pt>
                <c:pt idx="1">
                  <c:v>72534.255646411271</c:v>
                </c:pt>
                <c:pt idx="2">
                  <c:v>115523.67029601484</c:v>
                </c:pt>
                <c:pt idx="3">
                  <c:v>163725.95248307602</c:v>
                </c:pt>
                <c:pt idx="4">
                  <c:v>217773.21102285926</c:v>
                </c:pt>
                <c:pt idx="5">
                  <c:v>278374.20382087829</c:v>
                </c:pt>
                <c:pt idx="6">
                  <c:v>346323.63229008182</c:v>
                </c:pt>
                <c:pt idx="7">
                  <c:v>422512.56280282314</c:v>
                </c:pt>
                <c:pt idx="8">
                  <c:v>507940.11184109352</c:v>
                </c:pt>
                <c:pt idx="9">
                  <c:v>603726.54808022198</c:v>
                </c:pt>
                <c:pt idx="10">
                  <c:v>711127.9832224421</c:v>
                </c:pt>
                <c:pt idx="11">
                  <c:v>831552.84423106664</c:v>
                </c:pt>
                <c:pt idx="12">
                  <c:v>966580.34297671099</c:v>
                </c:pt>
                <c:pt idx="13">
                  <c:v>1117981.185500409</c:v>
                </c:pt>
                <c:pt idx="14">
                  <c:v>1287740.7924680603</c:v>
                </c:pt>
                <c:pt idx="15">
                  <c:v>1478085.3353215829</c:v>
                </c:pt>
                <c:pt idx="16">
                  <c:v>1691510.9295562613</c:v>
                </c:pt>
                <c:pt idx="17">
                  <c:v>1930816.3679552937</c:v>
                </c:pt>
                <c:pt idx="18">
                  <c:v>2199139.8230343666</c:v>
                </c:pt>
                <c:pt idx="19">
                  <c:v>2500000.0000000005</c:v>
                </c:pt>
                <c:pt idx="20">
                  <c:v>2500000.0000000005</c:v>
                </c:pt>
                <c:pt idx="21">
                  <c:v>2500000.0000000005</c:v>
                </c:pt>
                <c:pt idx="22">
                  <c:v>2500000.0000000005</c:v>
                </c:pt>
                <c:pt idx="23">
                  <c:v>2500000.0000000005</c:v>
                </c:pt>
                <c:pt idx="24">
                  <c:v>2500000.0000000005</c:v>
                </c:pt>
                <c:pt idx="25">
                  <c:v>2500000.0000000005</c:v>
                </c:pt>
                <c:pt idx="26">
                  <c:v>2500000.0000000005</c:v>
                </c:pt>
                <c:pt idx="27">
                  <c:v>2500000.0000000005</c:v>
                </c:pt>
                <c:pt idx="28">
                  <c:v>2500000.0000000005</c:v>
                </c:pt>
                <c:pt idx="29">
                  <c:v>2500000.0000000005</c:v>
                </c:pt>
              </c:numCache>
            </c:numRef>
          </c:val>
          <c:extLst>
            <c:ext xmlns:c16="http://schemas.microsoft.com/office/drawing/2014/chart" uri="{C3380CC4-5D6E-409C-BE32-E72D297353CC}">
              <c16:uniqueId val="{00000000-D803-459B-B081-CEDC92BEED18}"/>
            </c:ext>
          </c:extLst>
        </c:ser>
        <c:dLbls>
          <c:showLegendKey val="0"/>
          <c:showVal val="0"/>
          <c:showCatName val="0"/>
          <c:showSerName val="0"/>
          <c:showPercent val="0"/>
          <c:showBubbleSize val="0"/>
        </c:dLbls>
        <c:axId val="370409272"/>
        <c:axId val="370409664"/>
      </c:areaChart>
      <c:catAx>
        <c:axId val="370409272"/>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Years</a:t>
                </a:r>
              </a:p>
            </c:rich>
          </c:tx>
          <c:layout>
            <c:manualLayout>
              <c:xMode val="edge"/>
              <c:yMode val="edge"/>
              <c:x val="4.3076923076923096E-2"/>
              <c:y val="0.90378310172056775"/>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0409664"/>
        <c:crosses val="autoZero"/>
        <c:auto val="1"/>
        <c:lblAlgn val="ctr"/>
        <c:lblOffset val="100"/>
        <c:tickLblSkip val="3"/>
        <c:tickMarkSkip val="1"/>
        <c:noMultiLvlLbl val="0"/>
      </c:catAx>
      <c:valAx>
        <c:axId val="370409664"/>
        <c:scaling>
          <c:orientation val="minMax"/>
        </c:scaling>
        <c:delete val="0"/>
        <c:axPos val="l"/>
        <c:majorGridlines>
          <c:spPr>
            <a:ln w="9525" cap="flat" cmpd="sng" algn="ctr">
              <a:solidFill>
                <a:schemeClr val="lt1">
                  <a:lumMod val="95000"/>
                  <a:alpha val="10000"/>
                </a:schemeClr>
              </a:solidFill>
              <a:round/>
            </a:ln>
            <a:effectLst/>
          </c:spPr>
        </c:majorGridlines>
        <c:numFmt formatCode="#,##0_ ;\-#,##0\ "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0409272"/>
        <c:crosses val="autoZero"/>
        <c:crossBetween val="midCat"/>
      </c:valAx>
      <c:spPr>
        <a:noFill/>
        <a:ln>
          <a:noFill/>
        </a:ln>
        <a:effectLst/>
      </c:spPr>
    </c:plotArea>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000000000000022" r="0.75000000000000022"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8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propertyreality.co.za/templates.php"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D894774E-A76D-4014-8C39-F3B3701E25F1}"/>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3FAC3407-6707-467F-B1DB-1F496A1299B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BOND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Bond calculators are sometimes also referred to as home loan calculators or mortgage calculators. The aim of this free Excel template is to enable users to calculate monthly bond repayments, determine the affordability of a home loan, calculate the interest savings that result from increased bond instalments and measure the sensitivity of bond repayments to changes in interest rates. After using this template, you will also gain a better understanding of home loan amortization and specifically the timing of capital repayments on a bond.</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residential property templates which features property investment return calculations, property income tax calculations, capital gains tax calculations, bond statements, property accounting in Excel and more.</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EE150E11-EB87-4A23-83F2-1E110676EDB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E6DD9151-20F5-4FED-A265-B66FD4D5CAB4}"/>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13</xdr:row>
      <xdr:rowOff>180977</xdr:rowOff>
    </xdr:from>
    <xdr:to>
      <xdr:col>8</xdr:col>
      <xdr:colOff>1118673</xdr:colOff>
      <xdr:row>27</xdr:row>
      <xdr:rowOff>73608</xdr:rowOff>
    </xdr:to>
    <xdr:graphicFrame macro="">
      <xdr:nvGraphicFramePr>
        <xdr:cNvPr id="2049" name="Chart 1">
          <a:extLst>
            <a:ext uri="{FF2B5EF4-FFF2-40B4-BE49-F238E27FC236}">
              <a16:creationId xmlns:a16="http://schemas.microsoft.com/office/drawing/2014/main" id="{00000000-0008-0000-02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0</xdr:row>
      <xdr:rowOff>47625</xdr:rowOff>
    </xdr:from>
    <xdr:to>
      <xdr:col>8</xdr:col>
      <xdr:colOff>1118673</xdr:colOff>
      <xdr:row>13</xdr:row>
      <xdr:rowOff>140783</xdr:rowOff>
    </xdr:to>
    <xdr:graphicFrame macro="">
      <xdr:nvGraphicFramePr>
        <xdr:cNvPr id="2050" name="Chart 2">
          <a:extLst>
            <a:ext uri="{FF2B5EF4-FFF2-40B4-BE49-F238E27FC236}">
              <a16:creationId xmlns:a16="http://schemas.microsoft.com/office/drawing/2014/main" id="{00000000-0008-0000-02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48126</xdr:colOff>
      <xdr:row>11</xdr:row>
      <xdr:rowOff>56148</xdr:rowOff>
    </xdr:from>
    <xdr:ext cx="4756484" cy="1500622"/>
    <xdr:sp macro="" textlink="">
      <xdr:nvSpPr>
        <xdr:cNvPr id="3" name="Rectangle 17">
          <a:extLst>
            <a:ext uri="{FF2B5EF4-FFF2-40B4-BE49-F238E27FC236}">
              <a16:creationId xmlns:a16="http://schemas.microsoft.com/office/drawing/2014/main" id="{749CA057-6B6C-45E4-8EF9-88A39DEC61E3}"/>
            </a:ext>
          </a:extLst>
        </xdr:cNvPr>
        <xdr:cNvSpPr>
          <a:spLocks noChangeArrowheads="1"/>
        </xdr:cNvSpPr>
      </xdr:nvSpPr>
      <xdr:spPr bwMode="auto">
        <a:xfrm>
          <a:off x="8406063" y="2261937"/>
          <a:ext cx="475648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that is required in all the input cells can be found from row 38 downwards.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ColWidth="9.109375" defaultRowHeight="13.2" x14ac:dyDescent="0.25"/>
  <cols>
    <col min="1" max="18" width="15.6640625" style="3" customWidth="1"/>
    <col min="19" max="16384" width="9.109375" style="3"/>
  </cols>
  <sheetData/>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5"/>
  <sheetViews>
    <sheetView zoomScaleNormal="100" workbookViewId="0">
      <pane ySplit="3" topLeftCell="A4" activePane="bottomLeft" state="frozen"/>
      <selection pane="bottomLeft"/>
    </sheetView>
  </sheetViews>
  <sheetFormatPr defaultColWidth="9.109375" defaultRowHeight="14.1" customHeight="1" x14ac:dyDescent="0.25"/>
  <cols>
    <col min="1" max="1" width="109.77734375" style="75" customWidth="1"/>
    <col min="2" max="13" width="15.6640625" style="75" customWidth="1"/>
    <col min="14" max="35" width="25.6640625" style="75" customWidth="1"/>
    <col min="36" max="16384" width="9.109375" style="75"/>
  </cols>
  <sheetData>
    <row r="1" spans="1:1" ht="15" customHeight="1" x14ac:dyDescent="0.3">
      <c r="A1" s="1" t="s">
        <v>185</v>
      </c>
    </row>
    <row r="2" spans="1:1" ht="15" customHeight="1" x14ac:dyDescent="0.25">
      <c r="A2" s="77" t="s">
        <v>141</v>
      </c>
    </row>
    <row r="3" spans="1:1" ht="15" customHeight="1" x14ac:dyDescent="0.25">
      <c r="A3" s="2" t="s">
        <v>186</v>
      </c>
    </row>
    <row r="4" spans="1:1" ht="14.1" customHeight="1" x14ac:dyDescent="0.25">
      <c r="A4" s="78"/>
    </row>
    <row r="5" spans="1:1" ht="63.75" customHeight="1" x14ac:dyDescent="0.25">
      <c r="A5" s="74" t="s">
        <v>177</v>
      </c>
    </row>
    <row r="7" spans="1:1" ht="13.2" x14ac:dyDescent="0.25">
      <c r="A7" s="75" t="s">
        <v>178</v>
      </c>
    </row>
    <row r="8" spans="1:1" s="74" customFormat="1" ht="14.1" customHeight="1" x14ac:dyDescent="0.25">
      <c r="A8" s="75"/>
    </row>
    <row r="9" spans="1:1" s="74" customFormat="1" ht="13.2" x14ac:dyDescent="0.25">
      <c r="A9" s="79" t="s">
        <v>134</v>
      </c>
    </row>
    <row r="10" spans="1:1" s="74" customFormat="1" ht="14.1" customHeight="1" x14ac:dyDescent="0.25">
      <c r="A10" s="79"/>
    </row>
    <row r="11" spans="1:1" s="74" customFormat="1" ht="39.6" x14ac:dyDescent="0.25">
      <c r="A11" s="74" t="s">
        <v>193</v>
      </c>
    </row>
    <row r="12" spans="1:1" s="74" customFormat="1" ht="14.1" customHeight="1" x14ac:dyDescent="0.25"/>
    <row r="13" spans="1:1" s="74" customFormat="1" ht="13.2" x14ac:dyDescent="0.25">
      <c r="A13" s="80" t="s">
        <v>172</v>
      </c>
    </row>
    <row r="14" spans="1:1" s="74" customFormat="1" ht="14.1" customHeight="1" x14ac:dyDescent="0.25">
      <c r="A14" s="80"/>
    </row>
    <row r="15" spans="1:1" s="74" customFormat="1" ht="26.4" x14ac:dyDescent="0.25">
      <c r="A15" s="74" t="s">
        <v>194</v>
      </c>
    </row>
    <row r="16" spans="1:1" s="74" customFormat="1" ht="13.2" x14ac:dyDescent="0.25">
      <c r="A16" s="74" t="s">
        <v>208</v>
      </c>
    </row>
    <row r="17" spans="1:1" s="74" customFormat="1" ht="26.4" x14ac:dyDescent="0.25">
      <c r="A17" s="74" t="s">
        <v>197</v>
      </c>
    </row>
    <row r="18" spans="1:1" s="74" customFormat="1" ht="26.4" x14ac:dyDescent="0.25">
      <c r="A18" s="74" t="s">
        <v>198</v>
      </c>
    </row>
    <row r="19" spans="1:1" s="74" customFormat="1" ht="52.8" x14ac:dyDescent="0.25">
      <c r="A19" s="74" t="s">
        <v>184</v>
      </c>
    </row>
    <row r="20" spans="1:1" s="74" customFormat="1" ht="26.4" x14ac:dyDescent="0.25">
      <c r="A20" s="74" t="s">
        <v>199</v>
      </c>
    </row>
    <row r="21" spans="1:1" s="74" customFormat="1" ht="26.4" x14ac:dyDescent="0.25">
      <c r="A21" s="74" t="s">
        <v>142</v>
      </c>
    </row>
    <row r="22" spans="1:1" s="74" customFormat="1" ht="66" x14ac:dyDescent="0.25">
      <c r="A22" s="74" t="s">
        <v>200</v>
      </c>
    </row>
    <row r="23" spans="1:1" s="74" customFormat="1" ht="39.6" x14ac:dyDescent="0.25">
      <c r="A23" s="74" t="s">
        <v>201</v>
      </c>
    </row>
    <row r="24" spans="1:1" s="74" customFormat="1" ht="12.75" customHeight="1" x14ac:dyDescent="0.25">
      <c r="A24" s="74" t="s">
        <v>202</v>
      </c>
    </row>
    <row r="25" spans="1:1" s="74" customFormat="1" ht="26.4" x14ac:dyDescent="0.25">
      <c r="A25" s="74" t="s">
        <v>203</v>
      </c>
    </row>
    <row r="26" spans="1:1" s="74" customFormat="1" ht="13.2" x14ac:dyDescent="0.25"/>
    <row r="27" spans="1:1" s="74" customFormat="1" ht="13.2" x14ac:dyDescent="0.25">
      <c r="A27" s="81" t="s">
        <v>204</v>
      </c>
    </row>
    <row r="28" spans="1:1" s="74" customFormat="1" ht="13.2" x14ac:dyDescent="0.25"/>
    <row r="29" spans="1:1" s="74" customFormat="1" ht="52.8" x14ac:dyDescent="0.25">
      <c r="A29" s="74" t="s">
        <v>205</v>
      </c>
    </row>
    <row r="30" spans="1:1" s="74" customFormat="1" ht="14.1" customHeight="1" x14ac:dyDescent="0.25"/>
    <row r="31" spans="1:1" s="74" customFormat="1" ht="13.2" x14ac:dyDescent="0.25">
      <c r="A31" s="81" t="s">
        <v>133</v>
      </c>
    </row>
    <row r="32" spans="1:1" s="74" customFormat="1" ht="14.1" customHeight="1" x14ac:dyDescent="0.25">
      <c r="A32" s="81"/>
    </row>
    <row r="33" spans="1:1" s="74" customFormat="1" ht="26.4" x14ac:dyDescent="0.25">
      <c r="A33" s="74" t="s">
        <v>209</v>
      </c>
    </row>
    <row r="34" spans="1:1" s="74" customFormat="1" ht="14.1" customHeight="1" x14ac:dyDescent="0.25"/>
    <row r="35" spans="1:1" s="74" customFormat="1" ht="13.2" x14ac:dyDescent="0.25">
      <c r="A35" s="81" t="s">
        <v>132</v>
      </c>
    </row>
    <row r="36" spans="1:1" s="74" customFormat="1" ht="14.1" customHeight="1" x14ac:dyDescent="0.25">
      <c r="A36" s="81"/>
    </row>
    <row r="37" spans="1:1" s="74" customFormat="1" ht="79.2" x14ac:dyDescent="0.25">
      <c r="A37" s="74" t="s">
        <v>210</v>
      </c>
    </row>
    <row r="38" spans="1:1" s="74" customFormat="1" ht="14.1" customHeight="1" x14ac:dyDescent="0.25"/>
    <row r="39" spans="1:1" ht="13.2" x14ac:dyDescent="0.25">
      <c r="A39" s="81" t="s">
        <v>135</v>
      </c>
    </row>
    <row r="40" spans="1:1" ht="14.1" customHeight="1" x14ac:dyDescent="0.25">
      <c r="A40" s="81"/>
    </row>
    <row r="41" spans="1:1" ht="26.4" x14ac:dyDescent="0.25">
      <c r="A41" s="74" t="s">
        <v>206</v>
      </c>
    </row>
    <row r="42" spans="1:1" ht="14.1" customHeight="1" x14ac:dyDescent="0.25">
      <c r="A42" s="74"/>
    </row>
    <row r="43" spans="1:1" ht="13.2" x14ac:dyDescent="0.25">
      <c r="A43" s="81"/>
    </row>
    <row r="45" spans="1:1" ht="13.2" x14ac:dyDescent="0.25">
      <c r="A45" s="76"/>
    </row>
  </sheetData>
  <sheetProtection selectLockedCells="1"/>
  <phoneticPr fontId="3" type="noConversion"/>
  <hyperlinks>
    <hyperlink ref="A3" r:id="rId1" xr:uid="{57BEEE51-6B8C-4E0B-AD14-C9525EBFC9D9}"/>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0"/>
  <sheetViews>
    <sheetView zoomScale="95" workbookViewId="0">
      <selection activeCell="B4" sqref="B4"/>
    </sheetView>
  </sheetViews>
  <sheetFormatPr defaultColWidth="9.109375" defaultRowHeight="16.05" customHeight="1" x14ac:dyDescent="0.25"/>
  <cols>
    <col min="1" max="1" width="45.77734375" style="6" customWidth="1"/>
    <col min="2" max="10" width="16.77734375" style="6" customWidth="1"/>
    <col min="11" max="19" width="15.6640625" style="6" customWidth="1"/>
    <col min="20" max="16384" width="9.109375" style="6"/>
  </cols>
  <sheetData>
    <row r="1" spans="1:3" ht="16.05" customHeight="1" x14ac:dyDescent="0.25">
      <c r="A1" s="4" t="s">
        <v>4</v>
      </c>
      <c r="C1" s="14"/>
    </row>
    <row r="2" spans="1:3" ht="16.05" customHeight="1" x14ac:dyDescent="0.25">
      <c r="A2" s="7" t="s">
        <v>207</v>
      </c>
    </row>
    <row r="3" spans="1:3" ht="16.05" customHeight="1" x14ac:dyDescent="0.25">
      <c r="A3" s="13" t="s">
        <v>5</v>
      </c>
    </row>
    <row r="4" spans="1:3" ht="16.05" customHeight="1" x14ac:dyDescent="0.25">
      <c r="A4" s="82" t="s">
        <v>6</v>
      </c>
      <c r="B4" s="15">
        <v>2500000</v>
      </c>
    </row>
    <row r="5" spans="1:3" ht="16.05" customHeight="1" x14ac:dyDescent="0.25">
      <c r="A5" s="82" t="s">
        <v>1</v>
      </c>
      <c r="B5" s="16">
        <v>0.115</v>
      </c>
    </row>
    <row r="6" spans="1:3" ht="16.05" customHeight="1" x14ac:dyDescent="0.25">
      <c r="A6" s="82" t="s">
        <v>8</v>
      </c>
      <c r="B6" s="17">
        <v>20</v>
      </c>
    </row>
    <row r="7" spans="1:3" ht="16.05" customHeight="1" x14ac:dyDescent="0.25">
      <c r="A7" s="82" t="s">
        <v>136</v>
      </c>
      <c r="B7" s="15">
        <v>2000</v>
      </c>
    </row>
    <row r="8" spans="1:3" ht="16.05" customHeight="1" x14ac:dyDescent="0.25">
      <c r="A8" s="82" t="s">
        <v>89</v>
      </c>
      <c r="B8" s="18">
        <v>0.125</v>
      </c>
    </row>
    <row r="9" spans="1:3" ht="16.05" customHeight="1" x14ac:dyDescent="0.25">
      <c r="A9" s="82" t="s">
        <v>90</v>
      </c>
      <c r="B9" s="19">
        <v>0.06</v>
      </c>
    </row>
    <row r="11" spans="1:3" ht="16.05" customHeight="1" x14ac:dyDescent="0.25">
      <c r="A11" s="13" t="s">
        <v>172</v>
      </c>
    </row>
    <row r="12" spans="1:3" ht="16.05" customHeight="1" x14ac:dyDescent="0.25">
      <c r="A12" s="6" t="s">
        <v>7</v>
      </c>
      <c r="B12" s="12">
        <f>PMT(B5/12,B6*12,-B4,0,0)</f>
        <v>26660.740787821473</v>
      </c>
    </row>
    <row r="13" spans="1:3" ht="16.05" customHeight="1" x14ac:dyDescent="0.25">
      <c r="A13" s="6" t="s">
        <v>195</v>
      </c>
      <c r="B13" s="20">
        <f>B14-B4</f>
        <v>3898577.7890771534</v>
      </c>
    </row>
    <row r="14" spans="1:3" ht="16.05" customHeight="1" x14ac:dyDescent="0.25">
      <c r="A14" s="6" t="s">
        <v>196</v>
      </c>
      <c r="B14" s="20">
        <f>B12*12*B6</f>
        <v>6398577.7890771534</v>
      </c>
    </row>
    <row r="15" spans="1:3" ht="16.05" customHeight="1" x14ac:dyDescent="0.25">
      <c r="B15" s="20"/>
    </row>
    <row r="16" spans="1:3" ht="16.05" customHeight="1" x14ac:dyDescent="0.25">
      <c r="A16" s="6" t="s">
        <v>86</v>
      </c>
      <c r="B16" s="21">
        <f>NetDisposable!$C$35</f>
        <v>30000</v>
      </c>
    </row>
    <row r="17" spans="1:2" ht="16.05" customHeight="1" x14ac:dyDescent="0.25">
      <c r="A17" s="6" t="s">
        <v>179</v>
      </c>
      <c r="B17" s="12">
        <f>-PV(B5/12,B6*12,B16,0,0)</f>
        <v>2813125.1339520053</v>
      </c>
    </row>
    <row r="18" spans="1:2" ht="16.05" customHeight="1" x14ac:dyDescent="0.25">
      <c r="A18" s="6" t="s">
        <v>131</v>
      </c>
      <c r="B18" s="12">
        <f>B12</f>
        <v>26660.740787821473</v>
      </c>
    </row>
    <row r="19" spans="1:2" ht="16.05" customHeight="1" x14ac:dyDescent="0.25">
      <c r="A19" s="6" t="s">
        <v>88</v>
      </c>
      <c r="B19" s="22">
        <f>IF(B16=0,"no NDI",IF(B4=0,0,(RATE(B6*12,B16,-B4,0,0)*12)-B5))</f>
        <v>1.8974016219806808E-2</v>
      </c>
    </row>
    <row r="21" spans="1:2" ht="16.05" customHeight="1" x14ac:dyDescent="0.25">
      <c r="A21" s="6" t="s">
        <v>180</v>
      </c>
      <c r="B21" s="12">
        <f>B12+B7</f>
        <v>28660.740787821473</v>
      </c>
    </row>
    <row r="22" spans="1:2" ht="16.05" customHeight="1" x14ac:dyDescent="0.25">
      <c r="A22" s="6" t="s">
        <v>125</v>
      </c>
      <c r="B22" s="12">
        <f>MonthAmort!L364</f>
        <v>2931420.8416444021</v>
      </c>
    </row>
    <row r="23" spans="1:2" ht="16.05" customHeight="1" x14ac:dyDescent="0.25">
      <c r="A23" s="6" t="s">
        <v>181</v>
      </c>
      <c r="B23" s="12">
        <f>NPER(B5/12,B21,-B4,0,0)</f>
        <v>189.50615122088257</v>
      </c>
    </row>
    <row r="24" spans="1:2" ht="16.05" customHeight="1" x14ac:dyDescent="0.25">
      <c r="A24" s="6" t="s">
        <v>182</v>
      </c>
      <c r="B24" s="12">
        <f>B23/12</f>
        <v>15.792179268406882</v>
      </c>
    </row>
    <row r="25" spans="1:2" ht="16.05" customHeight="1" x14ac:dyDescent="0.25">
      <c r="A25" s="6" t="s">
        <v>126</v>
      </c>
      <c r="B25" s="12">
        <f>MonthAmort!P364</f>
        <v>967156.94743274979</v>
      </c>
    </row>
    <row r="26" spans="1:2" ht="16.05" customHeight="1" x14ac:dyDescent="0.25">
      <c r="A26" s="6" t="s">
        <v>127</v>
      </c>
      <c r="B26" s="12">
        <f>MonthAmort!S364</f>
        <v>453231.55081823142</v>
      </c>
    </row>
    <row r="28" spans="1:2" ht="16.05" customHeight="1" x14ac:dyDescent="0.25">
      <c r="A28" s="6" t="str">
        <f>"Monthly Bond Repayment @ "&amp;FIXED(B5*100,2)&amp;"%"</f>
        <v>Monthly Bond Repayment @ 11.50%</v>
      </c>
      <c r="B28" s="20">
        <f>B12</f>
        <v>26660.740787821473</v>
      </c>
    </row>
    <row r="29" spans="1:2" ht="16.05" customHeight="1" x14ac:dyDescent="0.25">
      <c r="A29" s="6" t="str">
        <f>"Monthly Bond Repayment @ "&amp;FIXED(B8*100,2)&amp;"%"</f>
        <v>Monthly Bond Repayment @ 12.50%</v>
      </c>
      <c r="B29" s="12">
        <f>PMT(B8/12,B6*12,-B4,0,0)</f>
        <v>28403.513742859235</v>
      </c>
    </row>
    <row r="30" spans="1:2" ht="16.05" customHeight="1" x14ac:dyDescent="0.25">
      <c r="A30" s="6" t="s">
        <v>183</v>
      </c>
      <c r="B30" s="20">
        <f>B29-B28</f>
        <v>1742.7729550377626</v>
      </c>
    </row>
  </sheetData>
  <phoneticPr fontId="3" type="noConversion"/>
  <dataValidations xWindow="407" yWindow="169" count="5">
    <dataValidation type="decimal" allowBlank="1" showInputMessage="1" showErrorMessage="1" errorTitle="Invalid Input" error="The annual interest rate must be a percentage!" promptTitle="Annual Interest Rate" prompt="Enter the annual interest rate as a percentage." sqref="B5" xr:uid="{00000000-0002-0000-0200-000000000000}">
      <formula1>0</formula1>
      <formula2>1</formula2>
    </dataValidation>
    <dataValidation type="whole" showInputMessage="1" showErrorMessage="1" errorTitle="Invalid Input" error="The bond period must be between 1 and 30 years!" promptTitle="Bond Period in Years" prompt="Enter a bond repayment period of between 1 and 30 years." sqref="B6" xr:uid="{00000000-0002-0000-0200-000001000000}">
      <formula1>1</formula1>
      <formula2>30</formula2>
    </dataValidation>
    <dataValidation allowBlank="1" showInputMessage="1" showErrorMessage="1" promptTitle="Increased Instalment" prompt="Enter an additional monthly bond repayment amount for increased instalment calculation purposes." sqref="B7" xr:uid="{00000000-0002-0000-0200-000002000000}"/>
    <dataValidation type="decimal" allowBlank="1" showInputMessage="1" showErrorMessage="1" errorTitle="Invalid Input" error="This interest rate must be entered as a percentage!" promptTitle="Interest Rate Sensitivity" prompt="Enter a second interest rate for comparison against the annual bond interest rate." sqref="B8" xr:uid="{00000000-0002-0000-0200-000003000000}">
      <formula1>0</formula1>
      <formula2>1</formula2>
    </dataValidation>
    <dataValidation type="decimal" allowBlank="1" showInputMessage="1" showErrorMessage="1" errorTitle="Invalid Input" error="The average inflation rate must be entered as a percentage!" promptTitle="Annual Inflation Rate" prompt="Enter the average annual inflation rate percentage. This value forms part of the present value calculation of the increased instalment interest saving." sqref="B9" xr:uid="{00000000-0002-0000-0200-000004000000}">
      <formula1>0</formula1>
      <formula2>1</formula2>
    </dataValidation>
  </dataValidations>
  <pageMargins left="0.75" right="0.75" top="1" bottom="1" header="0.5" footer="0.5"/>
  <pageSetup paperSize="9" scale="73" orientation="landscape"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6"/>
  <sheetViews>
    <sheetView zoomScale="95" workbookViewId="0">
      <selection activeCell="A3" sqref="A3"/>
    </sheetView>
  </sheetViews>
  <sheetFormatPr defaultColWidth="9.109375" defaultRowHeight="16.05" customHeight="1" x14ac:dyDescent="0.25"/>
  <cols>
    <col min="1" max="1" width="16.77734375" style="11" customWidth="1"/>
    <col min="2" max="4" width="16.77734375" style="6" customWidth="1"/>
    <col min="5" max="14" width="15.6640625" style="6" customWidth="1"/>
    <col min="15" max="16384" width="9.109375" style="6"/>
  </cols>
  <sheetData>
    <row r="1" spans="1:4" ht="16.05" customHeight="1" x14ac:dyDescent="0.25">
      <c r="A1" s="5" t="s">
        <v>188</v>
      </c>
    </row>
    <row r="2" spans="1:4" ht="16.05" customHeight="1" x14ac:dyDescent="0.25">
      <c r="A2" s="7" t="s">
        <v>207</v>
      </c>
    </row>
    <row r="3" spans="1:4" s="10" customFormat="1" ht="18" customHeight="1" x14ac:dyDescent="0.25">
      <c r="A3" s="8" t="s">
        <v>189</v>
      </c>
      <c r="B3" s="9" t="s">
        <v>191</v>
      </c>
      <c r="C3" s="9" t="s">
        <v>190</v>
      </c>
      <c r="D3" s="9" t="s">
        <v>192</v>
      </c>
    </row>
    <row r="4" spans="1:4" ht="16.05" customHeight="1" x14ac:dyDescent="0.25">
      <c r="A4" s="11">
        <f t="shared" ref="A4:A9" si="0">A5-0.5%</f>
        <v>8.4999999999999978E-2</v>
      </c>
      <c r="B4" s="12">
        <f>PMT($A4/12,180,-BondCalculator!$B$4,0,0)</f>
        <v>24618.488948139824</v>
      </c>
      <c r="C4" s="12">
        <f>PMT($A4/12,240,-BondCalculator!$B$4,0,0)</f>
        <v>21695.580834138342</v>
      </c>
      <c r="D4" s="12">
        <f>PMT($A4/12,360,-BondCalculator!$B$4,0,0)</f>
        <v>19222.837089608336</v>
      </c>
    </row>
    <row r="5" spans="1:4" ht="16.05" customHeight="1" x14ac:dyDescent="0.25">
      <c r="A5" s="11">
        <f t="shared" si="0"/>
        <v>8.9999999999999983E-2</v>
      </c>
      <c r="B5" s="12">
        <f>PMT($A5/12,180,-BondCalculator!$B$4,0,0)</f>
        <v>25356.664604044625</v>
      </c>
      <c r="C5" s="12">
        <f>PMT($A5/12,240,-BondCalculator!$B$4,0,0)</f>
        <v>22493.148896254323</v>
      </c>
      <c r="D5" s="12">
        <f>PMT($A5/12,360,-BondCalculator!$B$4,0,0)</f>
        <v>20115.56542361957</v>
      </c>
    </row>
    <row r="6" spans="1:4" ht="16.05" customHeight="1" x14ac:dyDescent="0.25">
      <c r="A6" s="11">
        <f t="shared" si="0"/>
        <v>9.4999999999999987E-2</v>
      </c>
      <c r="B6" s="12">
        <f>PMT($A6/12,180,-BondCalculator!$B$4,0,0)</f>
        <v>26105.617071594654</v>
      </c>
      <c r="C6" s="12">
        <f>PMT($A6/12,240,-BondCalculator!$B$4,0,0)</f>
        <v>23303.279695837948</v>
      </c>
      <c r="D6" s="12">
        <f>PMT($A6/12,360,-BondCalculator!$B$4,0,0)</f>
        <v>21021.355179468697</v>
      </c>
    </row>
    <row r="7" spans="1:4" ht="16.05" customHeight="1" x14ac:dyDescent="0.25">
      <c r="A7" s="11">
        <f t="shared" si="0"/>
        <v>9.9999999999999992E-2</v>
      </c>
      <c r="B7" s="12">
        <f>PMT($A7/12,180,-BondCalculator!$B$4,0,0)</f>
        <v>26865.127942702904</v>
      </c>
      <c r="C7" s="12">
        <f>PMT($A7/12,240,-BondCalculator!$B$4,0,0)</f>
        <v>24125.541126850196</v>
      </c>
      <c r="D7" s="12">
        <f>PMT($A7/12,360,-BondCalculator!$B$4,0,0)</f>
        <v>21939.289252219969</v>
      </c>
    </row>
    <row r="8" spans="1:4" ht="16.05" customHeight="1" x14ac:dyDescent="0.25">
      <c r="A8" s="11">
        <f t="shared" si="0"/>
        <v>0.105</v>
      </c>
      <c r="B8" s="12">
        <f>PMT($A8/12,180,-BondCalculator!$B$4,0,0)</f>
        <v>27634.973092429253</v>
      </c>
      <c r="C8" s="12">
        <f>PMT($A8/12,240,-BondCalculator!$B$4,0,0)</f>
        <v>24959.497174237375</v>
      </c>
      <c r="D8" s="12">
        <f>PMT($A8/12,360,-BondCalculator!$B$4,0,0)</f>
        <v>22868.48236232678</v>
      </c>
    </row>
    <row r="9" spans="1:4" ht="16.05" customHeight="1" x14ac:dyDescent="0.25">
      <c r="A9" s="11">
        <f t="shared" si="0"/>
        <v>0.11</v>
      </c>
      <c r="B9" s="12">
        <f>PMT($A9/12,180,-BondCalculator!$B$4,0,0)</f>
        <v>28414.92336390222</v>
      </c>
      <c r="C9" s="12">
        <f>PMT($A9/12,240,-BondCalculator!$B$4,0,0)</f>
        <v>25804.709809401418</v>
      </c>
      <c r="D9" s="12">
        <f>PMT($A9/12,360,-BondCalculator!$B$4,0,0)</f>
        <v>23808.084889734993</v>
      </c>
    </row>
    <row r="10" spans="1:4" ht="16.05" customHeight="1" x14ac:dyDescent="0.25">
      <c r="A10" s="11">
        <f>BondCalculator!$B$5</f>
        <v>0.115</v>
      </c>
      <c r="B10" s="12">
        <f>PMT($A10/12,180,-BondCalculator!$B$4,0,0)</f>
        <v>29204.745247699957</v>
      </c>
      <c r="C10" s="12">
        <f>PMT($A10/12,240,-BondCalculator!$B$4,0,0)</f>
        <v>26660.740787821473</v>
      </c>
      <c r="D10" s="12">
        <f>PMT($A10/12,360,-BondCalculator!$B$4,0,0)</f>
        <v>24757.285828476663</v>
      </c>
    </row>
    <row r="11" spans="1:4" ht="16.05" customHeight="1" x14ac:dyDescent="0.25">
      <c r="A11" s="11">
        <f t="shared" ref="A11:A16" si="1">A10+0.5%</f>
        <v>0.12000000000000001</v>
      </c>
      <c r="B11" s="12">
        <f>PMT($A11/12,180,-BondCalculator!$B$4,0,0)</f>
        <v>30004.201552287839</v>
      </c>
      <c r="C11" s="12">
        <f>PMT($A11/12,240,-BondCalculator!$B$4,0,0)</f>
        <v>27527.153339240249</v>
      </c>
      <c r="D11" s="12">
        <f>PMT($A11/12,360,-BondCalculator!$B$4,0,0)</f>
        <v>25715.314923137608</v>
      </c>
    </row>
    <row r="12" spans="1:4" ht="16.05" customHeight="1" x14ac:dyDescent="0.25">
      <c r="A12" s="11">
        <f t="shared" si="1"/>
        <v>0.125</v>
      </c>
      <c r="B12" s="12">
        <f>PMT($A12/12,180,-BondCalculator!$B$4,0,0)</f>
        <v>30813.052062334937</v>
      </c>
      <c r="C12" s="12">
        <f>PMT($A12/12,240,-BondCalculator!$B$4,0,0)</f>
        <v>28403.513742859235</v>
      </c>
      <c r="D12" s="12">
        <f>PMT($A12/12,360,-BondCalculator!$B$4,0,0)</f>
        <v>26681.444058703986</v>
      </c>
    </row>
    <row r="13" spans="1:4" ht="16.05" customHeight="1" x14ac:dyDescent="0.25">
      <c r="A13" s="11">
        <f t="shared" si="1"/>
        <v>0.13</v>
      </c>
      <c r="B13" s="12">
        <f>PMT($A13/12,180,-BondCalculator!$B$4,0,0)</f>
        <v>31631.054181974025</v>
      </c>
      <c r="C13" s="12">
        <f>PMT($A13/12,240,-BondCalculator!$B$4,0,0)</f>
        <v>29289.392781957587</v>
      </c>
      <c r="D13" s="12">
        <f>PMT($A13/12,360,-BondCalculator!$B$4,0,0)</f>
        <v>27654.987981664024</v>
      </c>
    </row>
    <row r="14" spans="1:4" ht="16.05" customHeight="1" x14ac:dyDescent="0.25">
      <c r="A14" s="11">
        <f t="shared" si="1"/>
        <v>0.13500000000000001</v>
      </c>
      <c r="B14" s="12">
        <f>PMT($A14/12,180,-BondCalculator!$B$4,0,0)</f>
        <v>32457.96356032565</v>
      </c>
      <c r="C14" s="12">
        <f>PMT($A14/12,240,-BondCalculator!$B$4,0,0)</f>
        <v>30184.367074227721</v>
      </c>
      <c r="D14" s="12">
        <f>PMT($A14/12,360,-BondCalculator!$B$4,0,0)</f>
        <v>28635.304433306101</v>
      </c>
    </row>
    <row r="15" spans="1:4" ht="16.05" customHeight="1" x14ac:dyDescent="0.25">
      <c r="A15" s="11">
        <f t="shared" si="1"/>
        <v>0.14000000000000001</v>
      </c>
      <c r="B15" s="12">
        <f>PMT($A15/12,180,-BondCalculator!$B$4,0,0)</f>
        <v>33293.534696872171</v>
      </c>
      <c r="C15" s="12">
        <f>PMT($A15/12,240,-BondCalculator!$B$4,0,0)</f>
        <v>31088.020275880965</v>
      </c>
      <c r="D15" s="12">
        <f>PMT($A15/12,360,-BondCalculator!$B$4,0,0)</f>
        <v>29621.793776413368</v>
      </c>
    </row>
    <row r="16" spans="1:4" ht="16.05" customHeight="1" x14ac:dyDescent="0.25">
      <c r="A16" s="11">
        <f t="shared" si="1"/>
        <v>0.14500000000000002</v>
      </c>
      <c r="B16" s="12">
        <f>PMT($A16/12,180,-BondCalculator!$B$4,0,0)</f>
        <v>34137.521524538963</v>
      </c>
      <c r="C16" s="12">
        <f>PMT($A16/12,240,-BondCalculator!$B$4,0,0)</f>
        <v>31999.944159197923</v>
      </c>
      <c r="D16" s="12">
        <f>PMT($A16/12,360,-BondCalculator!$B$4,0,0)</f>
        <v>30613.898194525536</v>
      </c>
    </row>
  </sheetData>
  <phoneticPr fontId="3" type="noConversion"/>
  <pageMargins left="0.75" right="0.75" top="1" bottom="1" header="0.5" footer="0.5"/>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89"/>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25"/>
  <cols>
    <col min="1" max="1" width="5.6640625" style="26" customWidth="1"/>
    <col min="2" max="2" width="35.77734375" style="26" customWidth="1"/>
    <col min="3" max="3" width="16.77734375" style="43" customWidth="1"/>
    <col min="4" max="4" width="5.6640625" style="86" customWidth="1"/>
    <col min="5" max="5" width="35.77734375" style="26" customWidth="1"/>
    <col min="6" max="6" width="16.77734375" style="43" customWidth="1"/>
    <col min="7" max="7" width="5.6640625" style="89" customWidth="1"/>
    <col min="8" max="8" width="35.77734375" style="26" customWidth="1"/>
    <col min="9" max="9" width="16.77734375" style="36" customWidth="1"/>
    <col min="10" max="10" width="5.6640625" style="24" customWidth="1"/>
    <col min="11" max="16384" width="9.109375" style="26"/>
  </cols>
  <sheetData>
    <row r="1" spans="2:10" ht="16.05" customHeight="1" x14ac:dyDescent="0.25">
      <c r="B1" s="23" t="s">
        <v>80</v>
      </c>
      <c r="C1" s="25"/>
      <c r="D1" s="25"/>
      <c r="E1" s="25"/>
      <c r="F1" s="25"/>
      <c r="G1" s="25"/>
      <c r="I1" s="27"/>
      <c r="J1" s="28" t="s">
        <v>207</v>
      </c>
    </row>
    <row r="2" spans="2:10" ht="16.05" customHeight="1" x14ac:dyDescent="0.25">
      <c r="B2" s="29" t="s">
        <v>9</v>
      </c>
      <c r="C2" s="30"/>
      <c r="D2" s="83"/>
      <c r="E2" s="29" t="s">
        <v>10</v>
      </c>
      <c r="F2" s="30"/>
      <c r="G2" s="87"/>
      <c r="H2" s="29" t="s">
        <v>67</v>
      </c>
      <c r="I2" s="30"/>
      <c r="J2" s="31"/>
    </row>
    <row r="3" spans="2:10" ht="16.05" customHeight="1" x14ac:dyDescent="0.25">
      <c r="B3" s="26" t="s">
        <v>11</v>
      </c>
      <c r="C3" s="32">
        <v>30000</v>
      </c>
      <c r="D3" s="83">
        <v>1</v>
      </c>
      <c r="E3" s="26" t="s">
        <v>12</v>
      </c>
      <c r="F3" s="32">
        <v>0</v>
      </c>
      <c r="G3" s="87">
        <v>18</v>
      </c>
      <c r="H3" s="33" t="s">
        <v>69</v>
      </c>
      <c r="I3" s="32">
        <v>0</v>
      </c>
      <c r="J3" s="31">
        <v>42</v>
      </c>
    </row>
    <row r="4" spans="2:10" ht="16.05" customHeight="1" x14ac:dyDescent="0.25">
      <c r="B4" s="26" t="s">
        <v>13</v>
      </c>
      <c r="C4" s="32">
        <v>0</v>
      </c>
      <c r="D4" s="83">
        <v>2</v>
      </c>
      <c r="E4" s="26" t="s">
        <v>14</v>
      </c>
      <c r="F4" s="32">
        <v>0</v>
      </c>
      <c r="G4" s="87">
        <v>19</v>
      </c>
      <c r="H4" s="33" t="s">
        <v>71</v>
      </c>
      <c r="I4" s="32">
        <v>0</v>
      </c>
      <c r="J4" s="31">
        <v>43</v>
      </c>
    </row>
    <row r="5" spans="2:10" ht="16.05" customHeight="1" x14ac:dyDescent="0.25">
      <c r="B5" s="26" t="s">
        <v>15</v>
      </c>
      <c r="C5" s="32">
        <v>0</v>
      </c>
      <c r="D5" s="83">
        <v>3</v>
      </c>
      <c r="E5" s="26" t="s">
        <v>16</v>
      </c>
      <c r="F5" s="32">
        <v>0</v>
      </c>
      <c r="G5" s="87">
        <v>20</v>
      </c>
      <c r="H5" s="33" t="s">
        <v>72</v>
      </c>
      <c r="I5" s="32">
        <v>0</v>
      </c>
      <c r="J5" s="31">
        <v>44</v>
      </c>
    </row>
    <row r="6" spans="2:10" ht="16.05" customHeight="1" x14ac:dyDescent="0.25">
      <c r="B6" s="26" t="s">
        <v>18</v>
      </c>
      <c r="C6" s="32">
        <v>0</v>
      </c>
      <c r="D6" s="83">
        <v>4</v>
      </c>
      <c r="E6" s="26" t="s">
        <v>19</v>
      </c>
      <c r="F6" s="32">
        <v>0</v>
      </c>
      <c r="G6" s="87">
        <v>21</v>
      </c>
      <c r="H6" s="33" t="s">
        <v>73</v>
      </c>
      <c r="I6" s="32">
        <v>0</v>
      </c>
      <c r="J6" s="31">
        <v>45</v>
      </c>
    </row>
    <row r="7" spans="2:10" ht="16.05" customHeight="1" x14ac:dyDescent="0.25">
      <c r="B7" s="26" t="s">
        <v>20</v>
      </c>
      <c r="C7" s="32">
        <v>0</v>
      </c>
      <c r="D7" s="83">
        <v>5</v>
      </c>
      <c r="E7" s="26" t="s">
        <v>21</v>
      </c>
      <c r="F7" s="32">
        <v>0</v>
      </c>
      <c r="G7" s="87">
        <v>22</v>
      </c>
      <c r="H7" s="33" t="s">
        <v>74</v>
      </c>
      <c r="I7" s="32">
        <v>0</v>
      </c>
      <c r="J7" s="31">
        <v>46</v>
      </c>
    </row>
    <row r="8" spans="2:10" ht="16.05" customHeight="1" x14ac:dyDescent="0.25">
      <c r="B8" s="29" t="s">
        <v>171</v>
      </c>
      <c r="C8" s="34">
        <f>SUM(C3:C7)</f>
        <v>30000</v>
      </c>
      <c r="D8" s="83"/>
      <c r="E8" s="26" t="s">
        <v>143</v>
      </c>
      <c r="F8" s="32">
        <v>0</v>
      </c>
      <c r="G8" s="87">
        <v>23</v>
      </c>
      <c r="H8" s="33" t="s">
        <v>75</v>
      </c>
      <c r="I8" s="32">
        <v>0</v>
      </c>
      <c r="J8" s="31">
        <v>47</v>
      </c>
    </row>
    <row r="9" spans="2:10" ht="16.05" customHeight="1" x14ac:dyDescent="0.25">
      <c r="B9" s="29" t="s">
        <v>23</v>
      </c>
      <c r="C9" s="30"/>
      <c r="D9" s="83"/>
      <c r="E9" s="26" t="s">
        <v>24</v>
      </c>
      <c r="F9" s="32">
        <v>0</v>
      </c>
      <c r="G9" s="87">
        <v>24</v>
      </c>
      <c r="H9" s="33" t="s">
        <v>76</v>
      </c>
      <c r="I9" s="32">
        <v>0</v>
      </c>
      <c r="J9" s="31">
        <v>48</v>
      </c>
    </row>
    <row r="10" spans="2:10" ht="16.05" customHeight="1" x14ac:dyDescent="0.25">
      <c r="B10" s="26" t="s">
        <v>25</v>
      </c>
      <c r="C10" s="32">
        <v>0</v>
      </c>
      <c r="D10" s="83">
        <v>6</v>
      </c>
      <c r="E10" s="26" t="s">
        <v>26</v>
      </c>
      <c r="F10" s="32">
        <v>0</v>
      </c>
      <c r="G10" s="87">
        <v>25</v>
      </c>
      <c r="H10" s="33" t="s">
        <v>20</v>
      </c>
      <c r="I10" s="32">
        <v>0</v>
      </c>
      <c r="J10" s="31">
        <v>49</v>
      </c>
    </row>
    <row r="11" spans="2:10" ht="16.05" customHeight="1" x14ac:dyDescent="0.25">
      <c r="B11" s="26" t="s">
        <v>27</v>
      </c>
      <c r="C11" s="32">
        <v>0</v>
      </c>
      <c r="D11" s="83">
        <v>7</v>
      </c>
      <c r="E11" s="26" t="s">
        <v>28</v>
      </c>
      <c r="F11" s="32">
        <v>0</v>
      </c>
      <c r="G11" s="87">
        <v>26</v>
      </c>
      <c r="H11" s="35" t="s">
        <v>77</v>
      </c>
      <c r="I11" s="34">
        <f>SUM(I3:I10)</f>
        <v>0</v>
      </c>
      <c r="J11" s="31"/>
    </row>
    <row r="12" spans="2:10" ht="16.05" customHeight="1" x14ac:dyDescent="0.25">
      <c r="B12" s="26" t="s">
        <v>29</v>
      </c>
      <c r="C12" s="32">
        <v>0</v>
      </c>
      <c r="D12" s="83">
        <v>8</v>
      </c>
      <c r="E12" s="26" t="s">
        <v>30</v>
      </c>
      <c r="F12" s="32">
        <v>0</v>
      </c>
      <c r="G12" s="87">
        <v>27</v>
      </c>
    </row>
    <row r="13" spans="2:10" ht="16.05" customHeight="1" x14ac:dyDescent="0.25">
      <c r="B13" s="26" t="s">
        <v>32</v>
      </c>
      <c r="C13" s="32">
        <v>0</v>
      </c>
      <c r="D13" s="83">
        <v>9</v>
      </c>
      <c r="E13" s="26" t="s">
        <v>33</v>
      </c>
      <c r="F13" s="32">
        <v>0</v>
      </c>
      <c r="G13" s="87">
        <v>28</v>
      </c>
    </row>
    <row r="14" spans="2:10" ht="16.05" customHeight="1" x14ac:dyDescent="0.25">
      <c r="B14" s="26" t="s">
        <v>35</v>
      </c>
      <c r="C14" s="32">
        <v>0</v>
      </c>
      <c r="D14" s="83">
        <v>10</v>
      </c>
      <c r="E14" s="26" t="s">
        <v>36</v>
      </c>
      <c r="F14" s="32">
        <v>0</v>
      </c>
      <c r="G14" s="87">
        <v>29</v>
      </c>
    </row>
    <row r="15" spans="2:10" ht="16.05" customHeight="1" x14ac:dyDescent="0.25">
      <c r="B15" s="26" t="s">
        <v>37</v>
      </c>
      <c r="C15" s="32">
        <v>0</v>
      </c>
      <c r="D15" s="83">
        <v>11</v>
      </c>
      <c r="E15" s="26" t="s">
        <v>38</v>
      </c>
      <c r="F15" s="32">
        <v>0</v>
      </c>
      <c r="G15" s="87">
        <v>30</v>
      </c>
    </row>
    <row r="16" spans="2:10" ht="16.05" customHeight="1" x14ac:dyDescent="0.25">
      <c r="B16" s="26" t="s">
        <v>40</v>
      </c>
      <c r="C16" s="32">
        <v>0</v>
      </c>
      <c r="D16" s="83">
        <v>12</v>
      </c>
      <c r="E16" s="26" t="s">
        <v>41</v>
      </c>
      <c r="F16" s="32">
        <v>0</v>
      </c>
      <c r="G16" s="87">
        <v>31</v>
      </c>
    </row>
    <row r="17" spans="2:10" ht="16.05" customHeight="1" x14ac:dyDescent="0.25">
      <c r="B17" s="29" t="s">
        <v>42</v>
      </c>
      <c r="C17" s="34">
        <f>SUM(C10:C16)</f>
        <v>0</v>
      </c>
      <c r="D17" s="83"/>
      <c r="E17" s="26" t="s">
        <v>187</v>
      </c>
      <c r="F17" s="32">
        <v>0</v>
      </c>
      <c r="G17" s="87">
        <v>32</v>
      </c>
    </row>
    <row r="18" spans="2:10" ht="16.05" customHeight="1" x14ac:dyDescent="0.25">
      <c r="B18" s="29" t="s">
        <v>44</v>
      </c>
      <c r="C18" s="34">
        <f>SUM(C8,-C17)</f>
        <v>30000</v>
      </c>
      <c r="D18" s="83">
        <v>13</v>
      </c>
      <c r="E18" s="26" t="s">
        <v>45</v>
      </c>
      <c r="F18" s="32">
        <v>0</v>
      </c>
      <c r="G18" s="87">
        <v>33</v>
      </c>
    </row>
    <row r="19" spans="2:10" ht="16.05" customHeight="1" x14ac:dyDescent="0.25">
      <c r="C19" s="30"/>
      <c r="D19" s="83"/>
      <c r="E19" s="26" t="s">
        <v>47</v>
      </c>
      <c r="F19" s="32">
        <v>0</v>
      </c>
      <c r="G19" s="87">
        <v>34</v>
      </c>
    </row>
    <row r="20" spans="2:10" s="29" customFormat="1" ht="16.05" customHeight="1" x14ac:dyDescent="0.25">
      <c r="B20" s="29" t="s">
        <v>49</v>
      </c>
      <c r="C20" s="38"/>
      <c r="D20" s="84"/>
      <c r="E20" s="26" t="s">
        <v>50</v>
      </c>
      <c r="F20" s="32">
        <v>0</v>
      </c>
      <c r="G20" s="87">
        <v>35</v>
      </c>
      <c r="J20" s="37"/>
    </row>
    <row r="21" spans="2:10" ht="16.05" customHeight="1" x14ac:dyDescent="0.25">
      <c r="B21" s="26" t="s">
        <v>51</v>
      </c>
      <c r="C21" s="32">
        <v>0</v>
      </c>
      <c r="D21" s="83">
        <v>14</v>
      </c>
      <c r="E21" s="26" t="s">
        <v>52</v>
      </c>
      <c r="F21" s="32">
        <v>0</v>
      </c>
      <c r="G21" s="87">
        <v>36</v>
      </c>
    </row>
    <row r="22" spans="2:10" ht="16.05" customHeight="1" x14ac:dyDescent="0.25">
      <c r="B22" s="26" t="s">
        <v>53</v>
      </c>
      <c r="C22" s="32">
        <v>0</v>
      </c>
      <c r="D22" s="83">
        <v>15</v>
      </c>
      <c r="E22" s="26" t="s">
        <v>54</v>
      </c>
      <c r="F22" s="32">
        <v>0</v>
      </c>
      <c r="G22" s="87">
        <v>37</v>
      </c>
    </row>
    <row r="23" spans="2:10" ht="16.05" customHeight="1" x14ac:dyDescent="0.25">
      <c r="B23" s="26" t="s">
        <v>56</v>
      </c>
      <c r="C23" s="32">
        <v>0</v>
      </c>
      <c r="D23" s="83">
        <v>16</v>
      </c>
      <c r="E23" s="26" t="s">
        <v>57</v>
      </c>
      <c r="F23" s="32">
        <v>0</v>
      </c>
      <c r="G23" s="87">
        <v>38</v>
      </c>
    </row>
    <row r="24" spans="2:10" ht="16.05" customHeight="1" x14ac:dyDescent="0.25">
      <c r="B24" s="26" t="s">
        <v>59</v>
      </c>
      <c r="C24" s="32">
        <v>0</v>
      </c>
      <c r="D24" s="83">
        <v>17</v>
      </c>
      <c r="E24" s="26" t="s">
        <v>60</v>
      </c>
      <c r="F24" s="32">
        <v>0</v>
      </c>
      <c r="G24" s="87">
        <v>39</v>
      </c>
    </row>
    <row r="25" spans="2:10" ht="16.05" customHeight="1" x14ac:dyDescent="0.25">
      <c r="B25" s="29" t="s">
        <v>61</v>
      </c>
      <c r="C25" s="34">
        <f>SUM(C21:C24)</f>
        <v>0</v>
      </c>
      <c r="D25" s="83"/>
      <c r="E25" s="26" t="s">
        <v>62</v>
      </c>
      <c r="F25" s="32">
        <v>0</v>
      </c>
      <c r="G25" s="87">
        <v>40</v>
      </c>
    </row>
    <row r="26" spans="2:10" ht="16.05" customHeight="1" x14ac:dyDescent="0.25">
      <c r="C26" s="30"/>
      <c r="D26" s="83"/>
      <c r="E26" s="26" t="s">
        <v>20</v>
      </c>
      <c r="F26" s="32">
        <v>0</v>
      </c>
      <c r="G26" s="87">
        <v>41</v>
      </c>
    </row>
    <row r="27" spans="2:10" ht="16.05" customHeight="1" x14ac:dyDescent="0.25">
      <c r="C27" s="30"/>
      <c r="D27" s="83"/>
      <c r="E27" s="29" t="s">
        <v>65</v>
      </c>
      <c r="F27" s="34">
        <f>SUM(F3:F26)</f>
        <v>0</v>
      </c>
      <c r="G27" s="87"/>
    </row>
    <row r="28" spans="2:10" ht="16.05" customHeight="1" thickBot="1" x14ac:dyDescent="0.3">
      <c r="C28" s="38"/>
      <c r="D28" s="84"/>
      <c r="F28" s="30"/>
      <c r="G28" s="87"/>
    </row>
    <row r="29" spans="2:10" ht="16.05" customHeight="1" thickTop="1" x14ac:dyDescent="0.25">
      <c r="B29" s="39"/>
      <c r="C29" s="40"/>
      <c r="D29" s="85"/>
      <c r="E29" s="39"/>
      <c r="F29" s="40"/>
      <c r="G29" s="88"/>
      <c r="H29" s="39"/>
      <c r="I29" s="41"/>
      <c r="J29" s="42"/>
    </row>
    <row r="30" spans="2:10" ht="16.05" customHeight="1" x14ac:dyDescent="0.25">
      <c r="B30" s="29" t="s">
        <v>80</v>
      </c>
      <c r="C30" s="38"/>
      <c r="D30" s="83"/>
    </row>
    <row r="31" spans="2:10" ht="16.05" customHeight="1" x14ac:dyDescent="0.25">
      <c r="B31" s="26" t="s">
        <v>44</v>
      </c>
      <c r="C31" s="44">
        <f>C18</f>
        <v>30000</v>
      </c>
      <c r="D31" s="83"/>
    </row>
    <row r="32" spans="2:10" ht="16.05" customHeight="1" x14ac:dyDescent="0.25">
      <c r="B32" s="26" t="s">
        <v>83</v>
      </c>
      <c r="C32" s="44">
        <f>C25</f>
        <v>0</v>
      </c>
      <c r="D32" s="83"/>
    </row>
    <row r="33" spans="1:10" ht="16.05" customHeight="1" x14ac:dyDescent="0.25">
      <c r="B33" s="26" t="s">
        <v>84</v>
      </c>
      <c r="C33" s="44">
        <f>-F27</f>
        <v>0</v>
      </c>
      <c r="D33" s="83"/>
    </row>
    <row r="34" spans="1:10" ht="16.05" customHeight="1" x14ac:dyDescent="0.25">
      <c r="B34" s="26" t="s">
        <v>85</v>
      </c>
      <c r="C34" s="44">
        <f>-I11</f>
        <v>0</v>
      </c>
      <c r="D34" s="83"/>
    </row>
    <row r="35" spans="1:10" ht="16.05" customHeight="1" x14ac:dyDescent="0.25">
      <c r="B35" s="29" t="s">
        <v>86</v>
      </c>
      <c r="C35" s="44">
        <f>SUM(C31:C34)</f>
        <v>30000</v>
      </c>
      <c r="D35" s="83"/>
    </row>
    <row r="36" spans="1:10" ht="16.05" customHeight="1" thickBot="1" x14ac:dyDescent="0.3">
      <c r="D36" s="83"/>
    </row>
    <row r="37" spans="1:10" ht="16.05" customHeight="1" thickTop="1" x14ac:dyDescent="0.25">
      <c r="B37" s="39"/>
      <c r="C37" s="40"/>
      <c r="D37" s="85"/>
      <c r="E37" s="39"/>
      <c r="F37" s="40"/>
      <c r="G37" s="88"/>
      <c r="H37" s="39"/>
      <c r="I37" s="41"/>
      <c r="J37" s="42"/>
    </row>
    <row r="38" spans="1:10" ht="16.05" customHeight="1" x14ac:dyDescent="0.25">
      <c r="B38" s="29" t="s">
        <v>87</v>
      </c>
      <c r="D38" s="84"/>
      <c r="F38" s="30"/>
      <c r="G38" s="87"/>
    </row>
    <row r="39" spans="1:10" ht="16.05" customHeight="1" x14ac:dyDescent="0.25">
      <c r="A39" s="83">
        <v>1</v>
      </c>
      <c r="B39" s="26" t="s">
        <v>144</v>
      </c>
      <c r="D39" s="84"/>
      <c r="F39" s="30"/>
      <c r="G39" s="87"/>
    </row>
    <row r="40" spans="1:10" ht="16.05" customHeight="1" x14ac:dyDescent="0.25">
      <c r="A40" s="83">
        <v>2</v>
      </c>
      <c r="B40" s="26" t="s">
        <v>145</v>
      </c>
      <c r="D40" s="84"/>
      <c r="F40" s="30"/>
      <c r="G40" s="87"/>
    </row>
    <row r="41" spans="1:10" ht="16.05" customHeight="1" x14ac:dyDescent="0.25">
      <c r="A41" s="83">
        <v>3</v>
      </c>
      <c r="B41" s="26" t="s">
        <v>17</v>
      </c>
      <c r="D41" s="84"/>
      <c r="E41" s="29"/>
      <c r="F41" s="38"/>
      <c r="G41" s="87"/>
    </row>
    <row r="42" spans="1:10" ht="16.05" customHeight="1" x14ac:dyDescent="0.25">
      <c r="A42" s="83">
        <v>4</v>
      </c>
      <c r="B42" s="26" t="s">
        <v>146</v>
      </c>
      <c r="D42" s="83"/>
      <c r="F42" s="30"/>
      <c r="G42" s="87"/>
    </row>
    <row r="43" spans="1:10" ht="16.05" customHeight="1" x14ac:dyDescent="0.25">
      <c r="A43" s="83">
        <v>5</v>
      </c>
      <c r="B43" s="26" t="s">
        <v>22</v>
      </c>
      <c r="D43" s="83"/>
      <c r="F43" s="30"/>
      <c r="G43" s="87"/>
    </row>
    <row r="44" spans="1:10" ht="16.05" customHeight="1" x14ac:dyDescent="0.25">
      <c r="A44" s="83">
        <v>6</v>
      </c>
      <c r="B44" s="26" t="s">
        <v>147</v>
      </c>
      <c r="D44" s="83"/>
      <c r="F44" s="30"/>
      <c r="G44" s="87"/>
    </row>
    <row r="45" spans="1:10" ht="16.05" customHeight="1" x14ac:dyDescent="0.25">
      <c r="A45" s="83">
        <v>7</v>
      </c>
      <c r="B45" s="26" t="s">
        <v>148</v>
      </c>
      <c r="D45" s="83"/>
      <c r="F45" s="30"/>
      <c r="G45" s="87"/>
    </row>
    <row r="46" spans="1:10" ht="16.05" customHeight="1" x14ac:dyDescent="0.25">
      <c r="A46" s="83">
        <v>8</v>
      </c>
      <c r="B46" s="26" t="s">
        <v>149</v>
      </c>
      <c r="D46" s="83"/>
      <c r="F46" s="30"/>
      <c r="G46" s="87"/>
    </row>
    <row r="47" spans="1:10" s="45" customFormat="1" ht="16.05" customHeight="1" x14ac:dyDescent="0.25">
      <c r="A47" s="83">
        <v>9</v>
      </c>
      <c r="B47" s="26" t="s">
        <v>150</v>
      </c>
      <c r="D47" s="84"/>
      <c r="F47" s="46"/>
      <c r="G47" s="90"/>
      <c r="J47" s="37"/>
    </row>
    <row r="48" spans="1:10" s="45" customFormat="1" ht="16.05" customHeight="1" x14ac:dyDescent="0.25">
      <c r="A48" s="83">
        <v>10</v>
      </c>
      <c r="B48" s="26" t="s">
        <v>31</v>
      </c>
      <c r="D48" s="84"/>
      <c r="F48" s="46"/>
      <c r="G48" s="90"/>
      <c r="J48" s="37"/>
    </row>
    <row r="49" spans="1:10" s="45" customFormat="1" ht="16.05" customHeight="1" x14ac:dyDescent="0.25">
      <c r="A49" s="83">
        <v>11</v>
      </c>
      <c r="B49" s="26" t="s">
        <v>34</v>
      </c>
      <c r="D49" s="84"/>
      <c r="F49" s="46"/>
      <c r="G49" s="90"/>
      <c r="J49" s="37"/>
    </row>
    <row r="50" spans="1:10" ht="16.05" customHeight="1" x14ac:dyDescent="0.25">
      <c r="A50" s="83">
        <v>12</v>
      </c>
      <c r="B50" s="26" t="s">
        <v>151</v>
      </c>
      <c r="D50" s="83"/>
      <c r="F50" s="30"/>
      <c r="G50" s="87"/>
    </row>
    <row r="51" spans="1:10" ht="16.05" customHeight="1" x14ac:dyDescent="0.25">
      <c r="A51" s="83">
        <v>13</v>
      </c>
      <c r="B51" s="26" t="s">
        <v>39</v>
      </c>
      <c r="D51" s="47"/>
      <c r="E51" s="47"/>
      <c r="F51" s="47"/>
      <c r="G51" s="47"/>
    </row>
    <row r="52" spans="1:10" ht="16.05" customHeight="1" x14ac:dyDescent="0.25">
      <c r="A52" s="83">
        <v>14</v>
      </c>
      <c r="B52" s="26" t="s">
        <v>152</v>
      </c>
      <c r="D52" s="83"/>
      <c r="F52" s="30"/>
      <c r="G52" s="87"/>
    </row>
    <row r="53" spans="1:10" ht="16.05" customHeight="1" x14ac:dyDescent="0.25">
      <c r="A53" s="83">
        <v>15</v>
      </c>
      <c r="B53" s="26" t="s">
        <v>43</v>
      </c>
    </row>
    <row r="54" spans="1:10" ht="16.05" customHeight="1" x14ac:dyDescent="0.25">
      <c r="A54" s="83">
        <v>16</v>
      </c>
      <c r="B54" s="26" t="s">
        <v>46</v>
      </c>
    </row>
    <row r="55" spans="1:10" ht="16.05" customHeight="1" x14ac:dyDescent="0.25">
      <c r="A55" s="83">
        <v>17</v>
      </c>
      <c r="B55" s="26" t="s">
        <v>48</v>
      </c>
    </row>
    <row r="56" spans="1:10" ht="16.05" customHeight="1" x14ac:dyDescent="0.25">
      <c r="A56" s="83">
        <v>18</v>
      </c>
      <c r="B56" s="26" t="s">
        <v>153</v>
      </c>
    </row>
    <row r="57" spans="1:10" ht="16.05" customHeight="1" x14ac:dyDescent="0.25">
      <c r="A57" s="83">
        <v>19</v>
      </c>
      <c r="B57" s="26" t="s">
        <v>154</v>
      </c>
    </row>
    <row r="58" spans="1:10" ht="16.05" customHeight="1" x14ac:dyDescent="0.25">
      <c r="A58" s="83">
        <v>20</v>
      </c>
      <c r="B58" s="26" t="s">
        <v>55</v>
      </c>
    </row>
    <row r="59" spans="1:10" ht="16.05" customHeight="1" x14ac:dyDescent="0.25">
      <c r="A59" s="83">
        <v>21</v>
      </c>
      <c r="B59" s="26" t="s">
        <v>58</v>
      </c>
    </row>
    <row r="60" spans="1:10" ht="16.05" customHeight="1" x14ac:dyDescent="0.25">
      <c r="A60" s="83">
        <v>22</v>
      </c>
      <c r="B60" s="26" t="s">
        <v>155</v>
      </c>
    </row>
    <row r="61" spans="1:10" ht="16.05" customHeight="1" x14ac:dyDescent="0.25">
      <c r="A61" s="83">
        <v>23</v>
      </c>
      <c r="B61" s="26" t="s">
        <v>63</v>
      </c>
    </row>
    <row r="62" spans="1:10" ht="16.05" customHeight="1" x14ac:dyDescent="0.25">
      <c r="A62" s="83">
        <v>24</v>
      </c>
      <c r="B62" s="26" t="s">
        <v>64</v>
      </c>
    </row>
    <row r="63" spans="1:10" ht="16.05" customHeight="1" x14ac:dyDescent="0.25">
      <c r="A63" s="83">
        <v>25</v>
      </c>
      <c r="B63" s="26" t="s">
        <v>66</v>
      </c>
    </row>
    <row r="64" spans="1:10" ht="16.05" customHeight="1" x14ac:dyDescent="0.25">
      <c r="A64" s="83">
        <v>26</v>
      </c>
      <c r="B64" s="26" t="s">
        <v>156</v>
      </c>
    </row>
    <row r="65" spans="1:2" ht="16.05" customHeight="1" x14ac:dyDescent="0.25">
      <c r="A65" s="83">
        <v>27</v>
      </c>
      <c r="B65" s="26" t="s">
        <v>68</v>
      </c>
    </row>
    <row r="66" spans="1:2" ht="16.05" customHeight="1" x14ac:dyDescent="0.25">
      <c r="A66" s="83">
        <v>28</v>
      </c>
      <c r="B66" s="26" t="s">
        <v>70</v>
      </c>
    </row>
    <row r="67" spans="1:2" ht="16.05" customHeight="1" x14ac:dyDescent="0.25">
      <c r="A67" s="83">
        <v>29</v>
      </c>
      <c r="B67" s="26" t="s">
        <v>157</v>
      </c>
    </row>
    <row r="68" spans="1:2" ht="16.05" customHeight="1" x14ac:dyDescent="0.25">
      <c r="A68" s="83">
        <v>30</v>
      </c>
      <c r="B68" s="26" t="s">
        <v>158</v>
      </c>
    </row>
    <row r="69" spans="1:2" ht="16.05" customHeight="1" x14ac:dyDescent="0.25">
      <c r="A69" s="83">
        <v>31</v>
      </c>
      <c r="B69" s="26" t="s">
        <v>137</v>
      </c>
    </row>
    <row r="70" spans="1:2" ht="16.05" customHeight="1" x14ac:dyDescent="0.25">
      <c r="A70" s="83">
        <v>32</v>
      </c>
      <c r="B70" s="26" t="s">
        <v>138</v>
      </c>
    </row>
    <row r="71" spans="1:2" ht="16.05" customHeight="1" x14ac:dyDescent="0.25">
      <c r="A71" s="83">
        <v>33</v>
      </c>
      <c r="B71" s="26" t="s">
        <v>159</v>
      </c>
    </row>
    <row r="72" spans="1:2" ht="16.05" customHeight="1" x14ac:dyDescent="0.25">
      <c r="A72" s="83">
        <v>34</v>
      </c>
      <c r="B72" s="26" t="s">
        <v>139</v>
      </c>
    </row>
    <row r="73" spans="1:2" ht="16.05" customHeight="1" x14ac:dyDescent="0.25">
      <c r="A73" s="83">
        <v>35</v>
      </c>
      <c r="B73" s="26" t="s">
        <v>160</v>
      </c>
    </row>
    <row r="74" spans="1:2" ht="16.05" customHeight="1" x14ac:dyDescent="0.25">
      <c r="A74" s="83">
        <v>36</v>
      </c>
      <c r="B74" s="26" t="s">
        <v>78</v>
      </c>
    </row>
    <row r="75" spans="1:2" ht="16.05" customHeight="1" x14ac:dyDescent="0.25">
      <c r="A75" s="83">
        <v>37</v>
      </c>
      <c r="B75" s="26" t="s">
        <v>79</v>
      </c>
    </row>
    <row r="76" spans="1:2" ht="16.05" customHeight="1" x14ac:dyDescent="0.25">
      <c r="A76" s="83">
        <v>38</v>
      </c>
      <c r="B76" s="26" t="s">
        <v>81</v>
      </c>
    </row>
    <row r="77" spans="1:2" ht="16.05" customHeight="1" x14ac:dyDescent="0.25">
      <c r="A77" s="83">
        <v>39</v>
      </c>
      <c r="B77" s="26" t="s">
        <v>82</v>
      </c>
    </row>
    <row r="78" spans="1:2" ht="16.05" customHeight="1" x14ac:dyDescent="0.25">
      <c r="A78" s="83">
        <v>40</v>
      </c>
      <c r="B78" s="26" t="s">
        <v>161</v>
      </c>
    </row>
    <row r="79" spans="1:2" ht="16.05" customHeight="1" x14ac:dyDescent="0.25">
      <c r="A79" s="83">
        <v>41</v>
      </c>
      <c r="B79" s="26" t="s">
        <v>162</v>
      </c>
    </row>
    <row r="80" spans="1:2" ht="16.05" customHeight="1" x14ac:dyDescent="0.25">
      <c r="A80" s="83">
        <v>42</v>
      </c>
      <c r="B80" s="26" t="s">
        <v>163</v>
      </c>
    </row>
    <row r="81" spans="1:2" ht="16.05" customHeight="1" x14ac:dyDescent="0.25">
      <c r="A81" s="83">
        <v>43</v>
      </c>
      <c r="B81" s="26" t="s">
        <v>164</v>
      </c>
    </row>
    <row r="82" spans="1:2" ht="16.05" customHeight="1" x14ac:dyDescent="0.25">
      <c r="A82" s="83">
        <v>44</v>
      </c>
      <c r="B82" s="26" t="s">
        <v>165</v>
      </c>
    </row>
    <row r="83" spans="1:2" ht="16.05" customHeight="1" x14ac:dyDescent="0.25">
      <c r="A83" s="83">
        <v>45</v>
      </c>
      <c r="B83" s="26" t="s">
        <v>166</v>
      </c>
    </row>
    <row r="84" spans="1:2" ht="16.05" customHeight="1" x14ac:dyDescent="0.25">
      <c r="A84" s="83">
        <v>46</v>
      </c>
      <c r="B84" s="26" t="s">
        <v>167</v>
      </c>
    </row>
    <row r="85" spans="1:2" ht="16.05" customHeight="1" x14ac:dyDescent="0.25">
      <c r="A85" s="83">
        <v>47</v>
      </c>
      <c r="B85" s="26" t="s">
        <v>168</v>
      </c>
    </row>
    <row r="86" spans="1:2" ht="16.05" customHeight="1" x14ac:dyDescent="0.25">
      <c r="A86" s="83">
        <v>48</v>
      </c>
      <c r="B86" s="26" t="s">
        <v>169</v>
      </c>
    </row>
    <row r="87" spans="1:2" ht="16.05" customHeight="1" x14ac:dyDescent="0.25">
      <c r="A87" s="83">
        <v>49</v>
      </c>
      <c r="B87" s="33" t="s">
        <v>170</v>
      </c>
    </row>
    <row r="89" spans="1:2" ht="16.05" customHeight="1" x14ac:dyDescent="0.25">
      <c r="B89" s="48"/>
    </row>
  </sheetData>
  <sheetProtection formatCells="0" formatColumns="0" formatRows="0" insertColumns="0" insertRows="0" insertHyperlinks="0" deleteColumns="0" deleteRows="0" sort="0" autoFilter="0" pivotTables="0"/>
  <phoneticPr fontId="5" type="noConversion"/>
  <dataValidations count="1">
    <dataValidation type="decimal" operator="greaterThan" allowBlank="1" showInputMessage="1" showErrorMessage="1" errorTitle="Invalid Input" error="All income and expenses must be entered as positive values." sqref="C3:C7 I3:I10 F3:F26 C21:C24 C10:C16" xr:uid="{00000000-0002-0000-0400-000000000000}">
      <formula1>0</formula1>
    </dataValidation>
  </dataValidations>
  <pageMargins left="0.75" right="0.75" top="1" bottom="1" header="0.5" footer="0.5"/>
  <pageSetup scale="71" fitToHeight="2" orientation="landscape" r:id="rId1"/>
  <headerFooter alignWithMargins="0">
    <oddFooter>Page &amp;P of &amp;N</oddFooter>
  </headerFooter>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3"/>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6.77734375" style="58" customWidth="1"/>
    <col min="2" max="6" width="16.77734375" style="12" customWidth="1"/>
    <col min="7" max="7" width="16.77734375" style="52" customWidth="1"/>
    <col min="8" max="8" width="5.6640625" style="6" customWidth="1"/>
    <col min="9" max="9" width="15.6640625" style="50" customWidth="1"/>
    <col min="10" max="10" width="15.6640625" style="51" customWidth="1"/>
    <col min="11" max="11" width="15.6640625" style="50" customWidth="1"/>
    <col min="12" max="18" width="15.6640625" style="6" customWidth="1"/>
    <col min="19" max="16384" width="9.109375" style="6"/>
  </cols>
  <sheetData>
    <row r="1" spans="1:11" ht="16.05" customHeight="1" x14ac:dyDescent="0.25">
      <c r="A1" s="49" t="s">
        <v>114</v>
      </c>
      <c r="G1" s="14"/>
    </row>
    <row r="2" spans="1:11" ht="16.05" customHeight="1" x14ac:dyDescent="0.25">
      <c r="A2" s="7" t="s">
        <v>207</v>
      </c>
    </row>
    <row r="3" spans="1:11" s="3" customFormat="1" ht="25.8" x14ac:dyDescent="0.25">
      <c r="A3" s="53" t="s">
        <v>215</v>
      </c>
      <c r="B3" s="54" t="s">
        <v>173</v>
      </c>
      <c r="C3" s="54" t="s">
        <v>212</v>
      </c>
      <c r="D3" s="54" t="s">
        <v>213</v>
      </c>
      <c r="E3" s="54" t="s">
        <v>211</v>
      </c>
      <c r="F3" s="54" t="s">
        <v>214</v>
      </c>
      <c r="G3" s="55" t="s">
        <v>2</v>
      </c>
      <c r="I3" s="56" t="s">
        <v>128</v>
      </c>
      <c r="J3" s="57" t="s">
        <v>129</v>
      </c>
      <c r="K3" s="56" t="s">
        <v>130</v>
      </c>
    </row>
    <row r="4" spans="1:11" ht="16.05" customHeight="1" x14ac:dyDescent="0.25">
      <c r="A4" s="58">
        <v>1</v>
      </c>
      <c r="B4" s="12">
        <f>BondCalculator!$B$4</f>
        <v>2500000</v>
      </c>
      <c r="C4" s="12">
        <f>IF(B4=0,0,BondCalculator!$B$12*12)</f>
        <v>319928.88945385767</v>
      </c>
      <c r="D4" s="12">
        <f ca="1">SUM(OFFSET(MonthAmort!$E$3,1,0,12,1))</f>
        <v>285734.92991092906</v>
      </c>
      <c r="E4" s="12">
        <f ca="1">SUM(OFFSET(MonthAmort!$F$3,1,0,12,1))</f>
        <v>34193.959542928606</v>
      </c>
      <c r="F4" s="12">
        <f ca="1">IF(ROUND(B4-E4,2)=0,0,B4-E4)</f>
        <v>2465806.0404570713</v>
      </c>
      <c r="G4" s="52">
        <f ca="1">IF($B$4=0,0,F4/$B$4)</f>
        <v>0.98632241618282845</v>
      </c>
      <c r="I4" s="59">
        <f ca="1">SUM($D$4:D4)</f>
        <v>285734.92991092906</v>
      </c>
      <c r="J4" s="51">
        <f ca="1">SUM(OFFSET(MonthAmort!$L$3,1,0,A4*12,1))</f>
        <v>284428.63534299523</v>
      </c>
      <c r="K4" s="59">
        <f ca="1">SUM($E$4:E4)</f>
        <v>34193.959542928606</v>
      </c>
    </row>
    <row r="5" spans="1:11" ht="16.05" customHeight="1" x14ac:dyDescent="0.25">
      <c r="A5" s="58">
        <v>2</v>
      </c>
      <c r="B5" s="12">
        <f ca="1">F4</f>
        <v>2465806.0404570713</v>
      </c>
      <c r="C5" s="12">
        <f ca="1">IF(B5=0,0,BondCalculator!$B$12*12)</f>
        <v>319928.88945385767</v>
      </c>
      <c r="D5" s="12">
        <f ca="1">SUM(OFFSET(MonthAmort!$E$3,(12*A4)+1,0,12,1))</f>
        <v>281588.59335037501</v>
      </c>
      <c r="E5" s="12">
        <f ca="1">SUM(OFFSET(MonthAmort!$F$3,(12*A4)+1,0,12,1))</f>
        <v>38340.296103482659</v>
      </c>
      <c r="F5" s="12">
        <f t="shared" ref="F5:F33" ca="1" si="0">IF(ROUND(B5-E5,2)=0,0,B5-E5)</f>
        <v>2427465.7443535887</v>
      </c>
      <c r="G5" s="52">
        <f t="shared" ref="G5:G33" ca="1" si="1">IF($B$4=0,0,F5/$B$4)</f>
        <v>0.97098629774143552</v>
      </c>
      <c r="I5" s="59">
        <f ca="1">SUM($D$4:D5)</f>
        <v>567323.52326130401</v>
      </c>
      <c r="J5" s="51">
        <f ca="1">SUM(OFFSET(MonthAmort!$L$3,1,0,A5*12,1))</f>
        <v>561642.30984846607</v>
      </c>
      <c r="K5" s="59">
        <f ca="1">SUM($E$4:E5)</f>
        <v>72534.255646411271</v>
      </c>
    </row>
    <row r="6" spans="1:11" ht="16.05" customHeight="1" x14ac:dyDescent="0.25">
      <c r="A6" s="58">
        <v>3</v>
      </c>
      <c r="B6" s="12">
        <f t="shared" ref="B6:B33" ca="1" si="2">F5</f>
        <v>2427465.7443535887</v>
      </c>
      <c r="C6" s="12">
        <f ca="1">IF(B6=0,0,BondCalculator!$B$12*12)</f>
        <v>319928.88945385767</v>
      </c>
      <c r="D6" s="12">
        <f ca="1">SUM(OFFSET(MonthAmort!$E$3,(12*A5)+1,0,12,1))</f>
        <v>276939.47480425413</v>
      </c>
      <c r="E6" s="12">
        <f ca="1">SUM(OFFSET(MonthAmort!$F$3,(12*A5)+1,0,12,1))</f>
        <v>42989.414649603568</v>
      </c>
      <c r="F6" s="12">
        <f t="shared" ca="1" si="0"/>
        <v>2384476.3297039852</v>
      </c>
      <c r="G6" s="52">
        <f t="shared" ca="1" si="1"/>
        <v>0.95379053188159413</v>
      </c>
      <c r="I6" s="59">
        <f ca="1">SUM($D$4:D6)</f>
        <v>844262.99806555815</v>
      </c>
      <c r="J6" s="51">
        <f ca="1">SUM(OFFSET(MonthAmort!$L$3,1,0,A6*12,1))</f>
        <v>830766.14221271209</v>
      </c>
      <c r="K6" s="59">
        <f ca="1">SUM($E$4:E6)</f>
        <v>115523.67029601484</v>
      </c>
    </row>
    <row r="7" spans="1:11" ht="16.05" customHeight="1" x14ac:dyDescent="0.25">
      <c r="A7" s="58">
        <v>4</v>
      </c>
      <c r="B7" s="12">
        <f t="shared" ca="1" si="2"/>
        <v>2384476.3297039852</v>
      </c>
      <c r="C7" s="12">
        <f ca="1">IF(B7=0,0,BondCalculator!$B$12*12)</f>
        <v>319928.88945385767</v>
      </c>
      <c r="D7" s="12">
        <f ca="1">SUM(OFFSET(MonthAmort!$E$3,(12*A6)+1,0,12,1))</f>
        <v>271726.60726679646</v>
      </c>
      <c r="E7" s="12">
        <f ca="1">SUM(OFFSET(MonthAmort!$F$3,(12*A6)+1,0,12,1))</f>
        <v>48202.282187061181</v>
      </c>
      <c r="F7" s="12">
        <f t="shared" ca="1" si="0"/>
        <v>2336274.0475169239</v>
      </c>
      <c r="G7" s="52">
        <f t="shared" ca="1" si="1"/>
        <v>0.93450961900676954</v>
      </c>
      <c r="I7" s="59">
        <f ca="1">SUM($D$4:D7)</f>
        <v>1115989.6053323545</v>
      </c>
      <c r="J7" s="51">
        <f ca="1">SUM(OFFSET(MonthAmort!$L$3,1,0,A7*12,1))</f>
        <v>1090819.1636129457</v>
      </c>
      <c r="K7" s="59">
        <f ca="1">SUM($E$4:E7)</f>
        <v>163725.95248307602</v>
      </c>
    </row>
    <row r="8" spans="1:11" ht="16.05" customHeight="1" x14ac:dyDescent="0.25">
      <c r="A8" s="58">
        <v>5</v>
      </c>
      <c r="B8" s="12">
        <f t="shared" ca="1" si="2"/>
        <v>2336274.0475169239</v>
      </c>
      <c r="C8" s="12">
        <f ca="1">IF(B8=0,0,BondCalculator!$B$12*12)</f>
        <v>319928.88945385767</v>
      </c>
      <c r="D8" s="12">
        <f ca="1">SUM(OFFSET(MonthAmort!$E$3,(12*A7)+1,0,12,1))</f>
        <v>265881.63091407443</v>
      </c>
      <c r="E8" s="12">
        <f ca="1">SUM(OFFSET(MonthAmort!$F$3,(12*A7)+1,0,12,1))</f>
        <v>54047.258539783259</v>
      </c>
      <c r="F8" s="12">
        <f t="shared" ca="1" si="0"/>
        <v>2282226.7889771406</v>
      </c>
      <c r="G8" s="52">
        <f t="shared" ca="1" si="1"/>
        <v>0.91289071559085622</v>
      </c>
      <c r="I8" s="59">
        <f ca="1">SUM($D$4:D8)</f>
        <v>1381871.2362464289</v>
      </c>
      <c r="J8" s="51">
        <f ca="1">SUM(OFFSET(MonthAmort!$L$3,1,0,A8*12,1))</f>
        <v>1340701.4536060041</v>
      </c>
      <c r="K8" s="59">
        <f ca="1">SUM($E$4:E8)</f>
        <v>217773.21102285926</v>
      </c>
    </row>
    <row r="9" spans="1:11" ht="16.05" customHeight="1" x14ac:dyDescent="0.25">
      <c r="A9" s="58">
        <v>6</v>
      </c>
      <c r="B9" s="12">
        <f t="shared" ca="1" si="2"/>
        <v>2282226.7889771406</v>
      </c>
      <c r="C9" s="12">
        <f ca="1">IF(B9=0,0,BondCalculator!$B$12*12)</f>
        <v>319928.88945385767</v>
      </c>
      <c r="D9" s="12">
        <f ca="1">SUM(OFFSET(MonthAmort!$E$3,(12*A8)+1,0,12,1))</f>
        <v>259327.8966558387</v>
      </c>
      <c r="E9" s="12">
        <f ca="1">SUM(OFFSET(MonthAmort!$F$3,(12*A8)+1,0,12,1))</f>
        <v>60600.992798018997</v>
      </c>
      <c r="F9" s="12">
        <f t="shared" ca="1" si="0"/>
        <v>2221625.7961791214</v>
      </c>
      <c r="G9" s="52">
        <f t="shared" ca="1" si="1"/>
        <v>0.88865031847164855</v>
      </c>
      <c r="I9" s="59">
        <f ca="1">SUM($D$4:D9)</f>
        <v>1641199.1329022676</v>
      </c>
      <c r="J9" s="51">
        <f ca="1">SUM(OFFSET(MonthAmort!$L$3,1,0,A9*12,1))</f>
        <v>1579179.716134781</v>
      </c>
      <c r="K9" s="59">
        <f ca="1">SUM($E$4:E9)</f>
        <v>278374.20382087829</v>
      </c>
    </row>
    <row r="10" spans="1:11" ht="16.05" customHeight="1" x14ac:dyDescent="0.25">
      <c r="A10" s="58">
        <v>7</v>
      </c>
      <c r="B10" s="12">
        <f t="shared" ca="1" si="2"/>
        <v>2221625.7961791214</v>
      </c>
      <c r="C10" s="12">
        <f ca="1">IF(B10=0,0,BondCalculator!$B$12*12)</f>
        <v>319928.88945385767</v>
      </c>
      <c r="D10" s="12">
        <f ca="1">SUM(OFFSET(MonthAmort!$E$3,(12*A9)+1,0,12,1))</f>
        <v>251979.46098465411</v>
      </c>
      <c r="E10" s="12">
        <f ca="1">SUM(OFFSET(MonthAmort!$F$3,(12*A9)+1,0,12,1))</f>
        <v>67949.428469203529</v>
      </c>
      <c r="F10" s="12">
        <f t="shared" ca="1" si="0"/>
        <v>2153676.3677099179</v>
      </c>
      <c r="G10" s="52">
        <f t="shared" ca="1" si="1"/>
        <v>0.8614705470839672</v>
      </c>
      <c r="I10" s="59">
        <f ca="1">SUM($D$4:D10)</f>
        <v>1893178.5938869216</v>
      </c>
      <c r="J10" s="51">
        <f ca="1">SUM(OFFSET(MonthAmort!$L$3,1,0,A10*12,1))</f>
        <v>1804871.1064908898</v>
      </c>
      <c r="K10" s="59">
        <f ca="1">SUM($E$4:E10)</f>
        <v>346323.63229008182</v>
      </c>
    </row>
    <row r="11" spans="1:11" ht="16.05" customHeight="1" x14ac:dyDescent="0.25">
      <c r="A11" s="58">
        <v>8</v>
      </c>
      <c r="B11" s="12">
        <f t="shared" ca="1" si="2"/>
        <v>2153676.3677099179</v>
      </c>
      <c r="C11" s="12">
        <f ca="1">IF(B11=0,0,BondCalculator!$B$12*12)</f>
        <v>319928.88945385767</v>
      </c>
      <c r="D11" s="12">
        <f ca="1">SUM(OFFSET(MonthAmort!$E$3,(12*A10)+1,0,12,1))</f>
        <v>243739.95894111635</v>
      </c>
      <c r="E11" s="12">
        <f ca="1">SUM(OFFSET(MonthAmort!$F$3,(12*A10)+1,0,12,1))</f>
        <v>76188.930512741324</v>
      </c>
      <c r="F11" s="12">
        <f t="shared" ca="1" si="0"/>
        <v>2077487.4371971767</v>
      </c>
      <c r="G11" s="52">
        <f t="shared" ca="1" si="1"/>
        <v>0.83099497487887075</v>
      </c>
      <c r="I11" s="59">
        <f ca="1">SUM($D$4:D11)</f>
        <v>2136918.5528280381</v>
      </c>
      <c r="J11" s="51">
        <f ca="1">SUM(OFFSET(MonthAmort!$L$3,1,0,A11*12,1))</f>
        <v>2016225.0971456862</v>
      </c>
      <c r="K11" s="59">
        <f ca="1">SUM($E$4:E11)</f>
        <v>422512.56280282314</v>
      </c>
    </row>
    <row r="12" spans="1:11" ht="16.05" customHeight="1" x14ac:dyDescent="0.25">
      <c r="A12" s="58">
        <v>9</v>
      </c>
      <c r="B12" s="12">
        <f t="shared" ca="1" si="2"/>
        <v>2077487.4371971767</v>
      </c>
      <c r="C12" s="12">
        <f ca="1">IF(B12=0,0,BondCalculator!$B$12*12)</f>
        <v>319928.88945385767</v>
      </c>
      <c r="D12" s="12">
        <f ca="1">SUM(OFFSET(MonthAmort!$E$3,(12*A11)+1,0,12,1))</f>
        <v>234501.34041558733</v>
      </c>
      <c r="E12" s="12">
        <f ca="1">SUM(OFFSET(MonthAmort!$F$3,(12*A11)+1,0,12,1))</f>
        <v>85427.549038270372</v>
      </c>
      <c r="F12" s="12">
        <f t="shared" ca="1" si="0"/>
        <v>1992059.8881589063</v>
      </c>
      <c r="G12" s="52">
        <f t="shared" ca="1" si="1"/>
        <v>0.79682395526356253</v>
      </c>
      <c r="I12" s="59">
        <f ca="1">SUM($D$4:D12)</f>
        <v>2371419.8932436253</v>
      </c>
      <c r="J12" s="51">
        <f ca="1">SUM(OFFSET(MonthAmort!$L$3,1,0,A12*12,1))</f>
        <v>2211503.1446441426</v>
      </c>
      <c r="K12" s="59">
        <f ca="1">SUM($E$4:E12)</f>
        <v>507940.11184109352</v>
      </c>
    </row>
    <row r="13" spans="1:11" ht="16.05" customHeight="1" x14ac:dyDescent="0.25">
      <c r="A13" s="58">
        <v>10</v>
      </c>
      <c r="B13" s="12">
        <f t="shared" ca="1" si="2"/>
        <v>1992059.8881589063</v>
      </c>
      <c r="C13" s="12">
        <f ca="1">IF(B13=0,0,BondCalculator!$B$12*12)</f>
        <v>319928.88945385767</v>
      </c>
      <c r="D13" s="12">
        <f ca="1">SUM(OFFSET(MonthAmort!$E$3,(12*A12)+1,0,12,1))</f>
        <v>224142.4532147292</v>
      </c>
      <c r="E13" s="12">
        <f ca="1">SUM(OFFSET(MonthAmort!$F$3,(12*A12)+1,0,12,1))</f>
        <v>95786.436239128467</v>
      </c>
      <c r="F13" s="12">
        <f t="shared" ca="1" si="0"/>
        <v>1896273.4519197778</v>
      </c>
      <c r="G13" s="52">
        <f t="shared" ca="1" si="1"/>
        <v>0.75850938076791108</v>
      </c>
      <c r="I13" s="59">
        <f ca="1">SUM($D$4:D13)</f>
        <v>2595562.3464583545</v>
      </c>
      <c r="J13" s="51">
        <f ca="1">SUM(OFFSET(MonthAmort!$L$3,1,0,A13*12,1))</f>
        <v>2388755.8909199364</v>
      </c>
      <c r="K13" s="59">
        <f ca="1">SUM($E$4:E13)</f>
        <v>603726.54808022198</v>
      </c>
    </row>
    <row r="14" spans="1:11" ht="16.05" customHeight="1" x14ac:dyDescent="0.25">
      <c r="A14" s="58">
        <v>11</v>
      </c>
      <c r="B14" s="12">
        <f t="shared" ca="1" si="2"/>
        <v>1896273.4519197778</v>
      </c>
      <c r="C14" s="12">
        <f ca="1">IF(B14=0,0,BondCalculator!$B$12*12)</f>
        <v>319928.88945385767</v>
      </c>
      <c r="D14" s="12">
        <f ca="1">SUM(OFFSET(MonthAmort!$E$3,(12*A13)+1,0,12,1))</f>
        <v>212527.45431163753</v>
      </c>
      <c r="E14" s="12">
        <f ca="1">SUM(OFFSET(MonthAmort!$F$3,(12*A13)+1,0,12,1))</f>
        <v>107401.43514222014</v>
      </c>
      <c r="F14" s="12">
        <f t="shared" ca="1" si="0"/>
        <v>1788872.0167775576</v>
      </c>
      <c r="G14" s="52">
        <f t="shared" ca="1" si="1"/>
        <v>0.71554880671102306</v>
      </c>
      <c r="I14" s="59">
        <f ca="1">SUM($D$4:D14)</f>
        <v>2808089.8007699922</v>
      </c>
      <c r="J14" s="51">
        <f ca="1">SUM(OFFSET(MonthAmort!$L$3,1,0,A14*12,1))</f>
        <v>2545797.600057323</v>
      </c>
      <c r="K14" s="59">
        <f ca="1">SUM($E$4:E14)</f>
        <v>711127.9832224421</v>
      </c>
    </row>
    <row r="15" spans="1:11" ht="16.05" customHeight="1" x14ac:dyDescent="0.25">
      <c r="A15" s="58">
        <v>12</v>
      </c>
      <c r="B15" s="12">
        <f t="shared" ca="1" si="2"/>
        <v>1788872.0167775576</v>
      </c>
      <c r="C15" s="12">
        <f ca="1">IF(B15=0,0,BondCalculator!$B$12*12)</f>
        <v>319928.88945385767</v>
      </c>
      <c r="D15" s="12">
        <f ca="1">SUM(OFFSET(MonthAmort!$E$3,(12*A14)+1,0,12,1))</f>
        <v>199504.02844523315</v>
      </c>
      <c r="E15" s="12">
        <f ca="1">SUM(OFFSET(MonthAmort!$F$3,(12*A14)+1,0,12,1))</f>
        <v>120424.8610086245</v>
      </c>
      <c r="F15" s="12">
        <f t="shared" ca="1" si="0"/>
        <v>1668447.155768933</v>
      </c>
      <c r="G15" s="52">
        <f t="shared" ca="1" si="1"/>
        <v>0.66737886230757315</v>
      </c>
      <c r="I15" s="59">
        <f ca="1">SUM($D$4:D15)</f>
        <v>3007593.8292152253</v>
      </c>
      <c r="J15" s="51">
        <f ca="1">SUM(OFFSET(MonthAmort!$L$3,1,0,A15*12,1))</f>
        <v>2680177.4952719253</v>
      </c>
      <c r="K15" s="59">
        <f ca="1">SUM($E$4:E15)</f>
        <v>831552.84423106664</v>
      </c>
    </row>
    <row r="16" spans="1:11" ht="16.05" customHeight="1" x14ac:dyDescent="0.25">
      <c r="A16" s="58">
        <v>13</v>
      </c>
      <c r="B16" s="12">
        <f t="shared" ca="1" si="2"/>
        <v>1668447.155768933</v>
      </c>
      <c r="C16" s="12">
        <f ca="1">IF(B16=0,0,BondCalculator!$B$12*12)</f>
        <v>319928.88945385767</v>
      </c>
      <c r="D16" s="12">
        <f ca="1">SUM(OFFSET(MonthAmort!$E$3,(12*A15)+1,0,12,1))</f>
        <v>184901.39070821332</v>
      </c>
      <c r="E16" s="12">
        <f ca="1">SUM(OFFSET(MonthAmort!$F$3,(12*A15)+1,0,12,1))</f>
        <v>135027.49874564435</v>
      </c>
      <c r="F16" s="12">
        <f t="shared" ca="1" si="0"/>
        <v>1533419.6570232888</v>
      </c>
      <c r="G16" s="52">
        <f t="shared" ca="1" si="1"/>
        <v>0.61336786280931554</v>
      </c>
      <c r="I16" s="59">
        <f ca="1">SUM($D$4:D16)</f>
        <v>3192495.2199234385</v>
      </c>
      <c r="J16" s="51">
        <f ca="1">SUM(OFFSET(MonthAmort!$L$3,1,0,A16*12,1))</f>
        <v>2789147.620233079</v>
      </c>
      <c r="K16" s="59">
        <f ca="1">SUM($E$4:E16)</f>
        <v>966580.34297671099</v>
      </c>
    </row>
    <row r="17" spans="1:11" ht="16.05" customHeight="1" x14ac:dyDescent="0.25">
      <c r="A17" s="58">
        <v>14</v>
      </c>
      <c r="B17" s="12">
        <f t="shared" ca="1" si="2"/>
        <v>1533419.6570232888</v>
      </c>
      <c r="C17" s="12">
        <f ca="1">IF(B17=0,0,BondCalculator!$B$12*12)</f>
        <v>319928.88945385767</v>
      </c>
      <c r="D17" s="12">
        <f ca="1">SUM(OFFSET(MonthAmort!$E$3,(12*A16)+1,0,12,1))</f>
        <v>168528.04693015965</v>
      </c>
      <c r="E17" s="12">
        <f ca="1">SUM(OFFSET(MonthAmort!$F$3,(12*A16)+1,0,12,1))</f>
        <v>151400.84252369803</v>
      </c>
      <c r="F17" s="12">
        <f t="shared" ca="1" si="0"/>
        <v>1382018.8144995908</v>
      </c>
      <c r="G17" s="52">
        <f t="shared" ca="1" si="1"/>
        <v>0.55280752579983627</v>
      </c>
      <c r="I17" s="59">
        <f ca="1">SUM($D$4:D17)</f>
        <v>3361023.2668535979</v>
      </c>
      <c r="J17" s="51">
        <f ca="1">SUM(OFFSET(MonthAmort!$L$3,1,0,A17*12,1))</f>
        <v>2869626.8032717076</v>
      </c>
      <c r="K17" s="59">
        <f ca="1">SUM($E$4:E17)</f>
        <v>1117981.185500409</v>
      </c>
    </row>
    <row r="18" spans="1:11" ht="16.05" customHeight="1" x14ac:dyDescent="0.25">
      <c r="A18" s="58">
        <v>15</v>
      </c>
      <c r="B18" s="12">
        <f t="shared" ca="1" si="2"/>
        <v>1382018.8144995908</v>
      </c>
      <c r="C18" s="12">
        <f ca="1">IF(B18=0,0,BondCalculator!$B$12*12)</f>
        <v>319928.88945385767</v>
      </c>
      <c r="D18" s="12">
        <f ca="1">SUM(OFFSET(MonthAmort!$E$3,(12*A17)+1,0,12,1))</f>
        <v>150169.28248620639</v>
      </c>
      <c r="E18" s="12">
        <f ca="1">SUM(OFFSET(MonthAmort!$F$3,(12*A17)+1,0,12,1))</f>
        <v>169759.60696765129</v>
      </c>
      <c r="F18" s="12">
        <f t="shared" ca="1" si="0"/>
        <v>1212259.2075319395</v>
      </c>
      <c r="G18" s="52">
        <f t="shared" ca="1" si="1"/>
        <v>0.48490368301277581</v>
      </c>
      <c r="I18" s="59">
        <f ca="1">SUM($D$4:D18)</f>
        <v>3511192.5493398043</v>
      </c>
      <c r="J18" s="51">
        <f ca="1">SUM(OFFSET(MonthAmort!$L$3,1,0,A18*12,1))</f>
        <v>2918160.2519122688</v>
      </c>
      <c r="K18" s="59">
        <f ca="1">SUM($E$4:E18)</f>
        <v>1287740.7924680603</v>
      </c>
    </row>
    <row r="19" spans="1:11" ht="16.05" customHeight="1" x14ac:dyDescent="0.25">
      <c r="A19" s="58">
        <v>16</v>
      </c>
      <c r="B19" s="12">
        <f t="shared" ca="1" si="2"/>
        <v>1212259.2075319395</v>
      </c>
      <c r="C19" s="12">
        <f ca="1">IF(B19=0,0,BondCalculator!$B$12*12)</f>
        <v>319928.88945385767</v>
      </c>
      <c r="D19" s="12">
        <f ca="1">SUM(OFFSET(MonthAmort!$E$3,(12*A18)+1,0,12,1))</f>
        <v>129584.34660033524</v>
      </c>
      <c r="E19" s="12">
        <f ca="1">SUM(OFFSET(MonthAmort!$F$3,(12*A18)+1,0,12,1))</f>
        <v>190344.54285352246</v>
      </c>
      <c r="F19" s="12">
        <f t="shared" ca="1" si="0"/>
        <v>1021914.664678417</v>
      </c>
      <c r="G19" s="52">
        <f t="shared" ca="1" si="1"/>
        <v>0.40876586587136682</v>
      </c>
      <c r="I19" s="59">
        <f ca="1">SUM($D$4:D19)</f>
        <v>3640776.8959401394</v>
      </c>
      <c r="J19" s="51">
        <f ca="1">SUM(OFFSET(MonthAmort!$L$3,1,0,A19*12,1))</f>
        <v>2931420.8416444021</v>
      </c>
      <c r="K19" s="59">
        <f ca="1">SUM($E$4:E19)</f>
        <v>1478085.3353215829</v>
      </c>
    </row>
    <row r="20" spans="1:11" ht="16.05" customHeight="1" x14ac:dyDescent="0.25">
      <c r="A20" s="58">
        <v>17</v>
      </c>
      <c r="B20" s="12">
        <f t="shared" ca="1" si="2"/>
        <v>1021914.664678417</v>
      </c>
      <c r="C20" s="12">
        <f ca="1">IF(B20=0,0,BondCalculator!$B$12*12)</f>
        <v>319928.88945385767</v>
      </c>
      <c r="D20" s="12">
        <f ca="1">SUM(OFFSET(MonthAmort!$E$3,(12*A19)+1,0,12,1))</f>
        <v>106503.29521917921</v>
      </c>
      <c r="E20" s="12">
        <f ca="1">SUM(OFFSET(MonthAmort!$F$3,(12*A19)+1,0,12,1))</f>
        <v>213425.59423467849</v>
      </c>
      <c r="F20" s="12">
        <f t="shared" ca="1" si="0"/>
        <v>808489.07044373848</v>
      </c>
      <c r="G20" s="52">
        <f t="shared" ca="1" si="1"/>
        <v>0.3233956281774954</v>
      </c>
      <c r="I20" s="59">
        <f ca="1">SUM($D$4:D20)</f>
        <v>3747280.1911593187</v>
      </c>
      <c r="J20" s="51">
        <f ca="1">SUM(OFFSET(MonthAmort!$L$3,1,0,A20*12,1))</f>
        <v>2931420.8416444021</v>
      </c>
      <c r="K20" s="59">
        <f ca="1">SUM($E$4:E20)</f>
        <v>1691510.9295562613</v>
      </c>
    </row>
    <row r="21" spans="1:11" ht="16.05" customHeight="1" x14ac:dyDescent="0.25">
      <c r="A21" s="58">
        <v>18</v>
      </c>
      <c r="B21" s="12">
        <f t="shared" ca="1" si="2"/>
        <v>808489.07044373848</v>
      </c>
      <c r="C21" s="12">
        <f ca="1">IF(B21=0,0,BondCalculator!$B$12*12)</f>
        <v>319928.88945385767</v>
      </c>
      <c r="D21" s="12">
        <f ca="1">SUM(OFFSET(MonthAmort!$E$3,(12*A20)+1,0,12,1))</f>
        <v>80623.451054825171</v>
      </c>
      <c r="E21" s="12">
        <f ca="1">SUM(OFFSET(MonthAmort!$F$3,(12*A20)+1,0,12,1))</f>
        <v>239305.43839903252</v>
      </c>
      <c r="F21" s="12">
        <f t="shared" ca="1" si="0"/>
        <v>569183.63204470603</v>
      </c>
      <c r="G21" s="52">
        <f t="shared" ca="1" si="1"/>
        <v>0.2276734528178824</v>
      </c>
      <c r="I21" s="59">
        <f ca="1">SUM($D$4:D21)</f>
        <v>3827903.6422141436</v>
      </c>
      <c r="J21" s="51">
        <f ca="1">SUM(OFFSET(MonthAmort!$L$3,1,0,A21*12,1))</f>
        <v>2931420.8416444021</v>
      </c>
      <c r="K21" s="59">
        <f ca="1">SUM($E$4:E21)</f>
        <v>1930816.3679552937</v>
      </c>
    </row>
    <row r="22" spans="1:11" ht="16.05" customHeight="1" x14ac:dyDescent="0.25">
      <c r="A22" s="58">
        <v>19</v>
      </c>
      <c r="B22" s="12">
        <f t="shared" ca="1" si="2"/>
        <v>569183.63204470603</v>
      </c>
      <c r="C22" s="12">
        <f ca="1">IF(B22=0,0,BondCalculator!$B$12*12)</f>
        <v>319928.88945385767</v>
      </c>
      <c r="D22" s="12">
        <f ca="1">SUM(OFFSET(MonthAmort!$E$3,(12*A21)+1,0,12,1))</f>
        <v>51605.434374785</v>
      </c>
      <c r="E22" s="12">
        <f ca="1">SUM(OFFSET(MonthAmort!$F$3,(12*A21)+1,0,12,1))</f>
        <v>268323.45507907274</v>
      </c>
      <c r="F22" s="12">
        <f t="shared" ca="1" si="0"/>
        <v>300860.17696563329</v>
      </c>
      <c r="G22" s="52">
        <f t="shared" ca="1" si="1"/>
        <v>0.12034407078625331</v>
      </c>
      <c r="I22" s="59">
        <f ca="1">SUM($D$4:D22)</f>
        <v>3879509.0765889287</v>
      </c>
      <c r="J22" s="51">
        <f ca="1">SUM(OFFSET(MonthAmort!$L$3,1,0,A22*12,1))</f>
        <v>2931420.8416444021</v>
      </c>
      <c r="K22" s="59">
        <f ca="1">SUM($E$4:E22)</f>
        <v>2199139.8230343666</v>
      </c>
    </row>
    <row r="23" spans="1:11" ht="16.05" customHeight="1" x14ac:dyDescent="0.25">
      <c r="A23" s="58">
        <v>20</v>
      </c>
      <c r="B23" s="12">
        <f t="shared" ca="1" si="2"/>
        <v>300860.17696563329</v>
      </c>
      <c r="C23" s="12">
        <f ca="1">IF(B23=0,0,BondCalculator!$B$12*12)</f>
        <v>319928.88945385767</v>
      </c>
      <c r="D23" s="12">
        <f ca="1">SUM(OFFSET(MonthAmort!$E$3,(12*A22)+1,0,12,1))</f>
        <v>19068.712488225414</v>
      </c>
      <c r="E23" s="12">
        <f ca="1">SUM(OFFSET(MonthAmort!$F$3,(12*A22)+1,0,12,1))</f>
        <v>300860.17696563405</v>
      </c>
      <c r="F23" s="12">
        <f t="shared" ca="1" si="0"/>
        <v>0</v>
      </c>
      <c r="G23" s="52">
        <f t="shared" ca="1" si="1"/>
        <v>0</v>
      </c>
      <c r="I23" s="59">
        <f ca="1">SUM($D$4:D23)</f>
        <v>3898577.7890771539</v>
      </c>
      <c r="J23" s="51">
        <f ca="1">SUM(OFFSET(MonthAmort!$L$3,1,0,A23*12,1))</f>
        <v>2931420.8416444021</v>
      </c>
      <c r="K23" s="59">
        <f ca="1">SUM($E$4:E23)</f>
        <v>2500000.0000000005</v>
      </c>
    </row>
    <row r="24" spans="1:11" ht="16.05" customHeight="1" x14ac:dyDescent="0.25">
      <c r="A24" s="58">
        <v>21</v>
      </c>
      <c r="B24" s="12">
        <f t="shared" ca="1" si="2"/>
        <v>0</v>
      </c>
      <c r="C24" s="12">
        <f ca="1">IF(B24=0,0,BondCalculator!$B$12*12)</f>
        <v>0</v>
      </c>
      <c r="D24" s="12">
        <f ca="1">SUM(OFFSET(MonthAmort!$E$3,(12*A23)+1,0,12,1))</f>
        <v>0</v>
      </c>
      <c r="E24" s="12">
        <f ca="1">SUM(OFFSET(MonthAmort!$F$3,(12*A23)+1,0,12,1))</f>
        <v>0</v>
      </c>
      <c r="F24" s="12">
        <f t="shared" ca="1" si="0"/>
        <v>0</v>
      </c>
      <c r="G24" s="52">
        <f t="shared" ca="1" si="1"/>
        <v>0</v>
      </c>
      <c r="I24" s="59">
        <f ca="1">SUM($D$4:D24)</f>
        <v>3898577.7890771539</v>
      </c>
      <c r="J24" s="51">
        <f ca="1">SUM(OFFSET(MonthAmort!$L$3,1,0,A24*12,1))</f>
        <v>2931420.8416444021</v>
      </c>
      <c r="K24" s="59">
        <f ca="1">SUM($E$4:E24)</f>
        <v>2500000.0000000005</v>
      </c>
    </row>
    <row r="25" spans="1:11" ht="16.05" customHeight="1" x14ac:dyDescent="0.25">
      <c r="A25" s="58">
        <v>22</v>
      </c>
      <c r="B25" s="12">
        <f t="shared" ca="1" si="2"/>
        <v>0</v>
      </c>
      <c r="C25" s="12">
        <f ca="1">IF(B25=0,0,BondCalculator!$B$12*12)</f>
        <v>0</v>
      </c>
      <c r="D25" s="12">
        <f ca="1">SUM(OFFSET(MonthAmort!$E$3,(12*A24)+1,0,12,1))</f>
        <v>0</v>
      </c>
      <c r="E25" s="12">
        <f ca="1">SUM(OFFSET(MonthAmort!$F$3,(12*A24)+1,0,12,1))</f>
        <v>0</v>
      </c>
      <c r="F25" s="12">
        <f t="shared" ca="1" si="0"/>
        <v>0</v>
      </c>
      <c r="G25" s="52">
        <f t="shared" ca="1" si="1"/>
        <v>0</v>
      </c>
      <c r="I25" s="59">
        <f ca="1">SUM($D$4:D25)</f>
        <v>3898577.7890771539</v>
      </c>
      <c r="J25" s="51">
        <f ca="1">SUM(OFFSET(MonthAmort!$L$3,1,0,A25*12,1))</f>
        <v>2931420.8416444021</v>
      </c>
      <c r="K25" s="59">
        <f ca="1">SUM($E$4:E25)</f>
        <v>2500000.0000000005</v>
      </c>
    </row>
    <row r="26" spans="1:11" ht="16.05" customHeight="1" x14ac:dyDescent="0.25">
      <c r="A26" s="58">
        <v>23</v>
      </c>
      <c r="B26" s="12">
        <f t="shared" ca="1" si="2"/>
        <v>0</v>
      </c>
      <c r="C26" s="12">
        <f ca="1">IF(B26=0,0,BondCalculator!$B$12*12)</f>
        <v>0</v>
      </c>
      <c r="D26" s="12">
        <f ca="1">SUM(OFFSET(MonthAmort!$E$3,(12*A25)+1,0,12,1))</f>
        <v>0</v>
      </c>
      <c r="E26" s="12">
        <f ca="1">SUM(OFFSET(MonthAmort!$F$3,(12*A25)+1,0,12,1))</f>
        <v>0</v>
      </c>
      <c r="F26" s="12">
        <f t="shared" ca="1" si="0"/>
        <v>0</v>
      </c>
      <c r="G26" s="52">
        <f t="shared" ca="1" si="1"/>
        <v>0</v>
      </c>
      <c r="I26" s="59">
        <f ca="1">SUM($D$4:D26)</f>
        <v>3898577.7890771539</v>
      </c>
      <c r="J26" s="51">
        <f ca="1">SUM(OFFSET(MonthAmort!$L$3,1,0,A26*12,1))</f>
        <v>2931420.8416444021</v>
      </c>
      <c r="K26" s="59">
        <f ca="1">SUM($E$4:E26)</f>
        <v>2500000.0000000005</v>
      </c>
    </row>
    <row r="27" spans="1:11" ht="16.05" customHeight="1" x14ac:dyDescent="0.25">
      <c r="A27" s="58">
        <v>24</v>
      </c>
      <c r="B27" s="12">
        <f t="shared" ca="1" si="2"/>
        <v>0</v>
      </c>
      <c r="C27" s="12">
        <f ca="1">IF(B27=0,0,BondCalculator!$B$12*12)</f>
        <v>0</v>
      </c>
      <c r="D27" s="12">
        <f ca="1">SUM(OFFSET(MonthAmort!$E$3,(12*A26)+1,0,12,1))</f>
        <v>0</v>
      </c>
      <c r="E27" s="12">
        <f ca="1">SUM(OFFSET(MonthAmort!$F$3,(12*A26)+1,0,12,1))</f>
        <v>0</v>
      </c>
      <c r="F27" s="12">
        <f t="shared" ca="1" si="0"/>
        <v>0</v>
      </c>
      <c r="G27" s="52">
        <f t="shared" ca="1" si="1"/>
        <v>0</v>
      </c>
      <c r="I27" s="59">
        <f ca="1">SUM($D$4:D27)</f>
        <v>3898577.7890771539</v>
      </c>
      <c r="J27" s="51">
        <f ca="1">SUM(OFFSET(MonthAmort!$L$3,1,0,A27*12,1))</f>
        <v>2931420.8416444021</v>
      </c>
      <c r="K27" s="59">
        <f ca="1">SUM($E$4:E27)</f>
        <v>2500000.0000000005</v>
      </c>
    </row>
    <row r="28" spans="1:11" ht="16.05" customHeight="1" x14ac:dyDescent="0.25">
      <c r="A28" s="58">
        <v>25</v>
      </c>
      <c r="B28" s="12">
        <f t="shared" ca="1" si="2"/>
        <v>0</v>
      </c>
      <c r="C28" s="12">
        <f ca="1">IF(B28=0,0,BondCalculator!$B$12*12)</f>
        <v>0</v>
      </c>
      <c r="D28" s="12">
        <f ca="1">SUM(OFFSET(MonthAmort!$E$3,(12*A27)+1,0,12,1))</f>
        <v>0</v>
      </c>
      <c r="E28" s="12">
        <f ca="1">SUM(OFFSET(MonthAmort!$F$3,(12*A27)+1,0,12,1))</f>
        <v>0</v>
      </c>
      <c r="F28" s="12">
        <f t="shared" ca="1" si="0"/>
        <v>0</v>
      </c>
      <c r="G28" s="52">
        <f t="shared" ca="1" si="1"/>
        <v>0</v>
      </c>
      <c r="I28" s="59">
        <f ca="1">SUM($D$4:D28)</f>
        <v>3898577.7890771539</v>
      </c>
      <c r="J28" s="51">
        <f ca="1">SUM(OFFSET(MonthAmort!$L$3,1,0,A28*12,1))</f>
        <v>2931420.8416444021</v>
      </c>
      <c r="K28" s="59">
        <f ca="1">SUM($E$4:E28)</f>
        <v>2500000.0000000005</v>
      </c>
    </row>
    <row r="29" spans="1:11" ht="16.05" customHeight="1" x14ac:dyDescent="0.25">
      <c r="A29" s="58">
        <v>26</v>
      </c>
      <c r="B29" s="12">
        <f t="shared" ca="1" si="2"/>
        <v>0</v>
      </c>
      <c r="C29" s="12">
        <f ca="1">IF(B29=0,0,BondCalculator!$B$12*12)</f>
        <v>0</v>
      </c>
      <c r="D29" s="12">
        <f ca="1">SUM(OFFSET(MonthAmort!$E$3,(12*A28)+1,0,12,1))</f>
        <v>0</v>
      </c>
      <c r="E29" s="12">
        <f ca="1">SUM(OFFSET(MonthAmort!$F$3,(12*A28)+1,0,12,1))</f>
        <v>0</v>
      </c>
      <c r="F29" s="12">
        <f t="shared" ca="1" si="0"/>
        <v>0</v>
      </c>
      <c r="G29" s="52">
        <f t="shared" ca="1" si="1"/>
        <v>0</v>
      </c>
      <c r="I29" s="59">
        <f ca="1">SUM($D$4:D29)</f>
        <v>3898577.7890771539</v>
      </c>
      <c r="J29" s="51">
        <f ca="1">SUM(OFFSET(MonthAmort!$L$3,1,0,A29*12,1))</f>
        <v>2931420.8416444021</v>
      </c>
      <c r="K29" s="59">
        <f ca="1">SUM($E$4:E29)</f>
        <v>2500000.0000000005</v>
      </c>
    </row>
    <row r="30" spans="1:11" ht="16.05" customHeight="1" x14ac:dyDescent="0.25">
      <c r="A30" s="58">
        <v>27</v>
      </c>
      <c r="B30" s="12">
        <f t="shared" ca="1" si="2"/>
        <v>0</v>
      </c>
      <c r="C30" s="12">
        <f ca="1">IF(B30=0,0,BondCalculator!$B$12*12)</f>
        <v>0</v>
      </c>
      <c r="D30" s="12">
        <f ca="1">SUM(OFFSET(MonthAmort!$E$3,(12*A29)+1,0,12,1))</f>
        <v>0</v>
      </c>
      <c r="E30" s="12">
        <f ca="1">SUM(OFFSET(MonthAmort!$F$3,(12*A29)+1,0,12,1))</f>
        <v>0</v>
      </c>
      <c r="F30" s="12">
        <f t="shared" ca="1" si="0"/>
        <v>0</v>
      </c>
      <c r="G30" s="52">
        <f t="shared" ca="1" si="1"/>
        <v>0</v>
      </c>
      <c r="I30" s="59">
        <f ca="1">SUM($D$4:D30)</f>
        <v>3898577.7890771539</v>
      </c>
      <c r="J30" s="51">
        <f ca="1">SUM(OFFSET(MonthAmort!$L$3,1,0,A30*12,1))</f>
        <v>2931420.8416444021</v>
      </c>
      <c r="K30" s="59">
        <f ca="1">SUM($E$4:E30)</f>
        <v>2500000.0000000005</v>
      </c>
    </row>
    <row r="31" spans="1:11" ht="16.05" customHeight="1" x14ac:dyDescent="0.25">
      <c r="A31" s="58">
        <v>28</v>
      </c>
      <c r="B31" s="12">
        <f t="shared" ca="1" si="2"/>
        <v>0</v>
      </c>
      <c r="C31" s="12">
        <f ca="1">IF(B31=0,0,BondCalculator!$B$12*12)</f>
        <v>0</v>
      </c>
      <c r="D31" s="12">
        <f ca="1">SUM(OFFSET(MonthAmort!$E$3,(12*A30)+1,0,12,1))</f>
        <v>0</v>
      </c>
      <c r="E31" s="12">
        <f ca="1">SUM(OFFSET(MonthAmort!$F$3,(12*A30)+1,0,12,1))</f>
        <v>0</v>
      </c>
      <c r="F31" s="12">
        <f t="shared" ca="1" si="0"/>
        <v>0</v>
      </c>
      <c r="G31" s="52">
        <f t="shared" ca="1" si="1"/>
        <v>0</v>
      </c>
      <c r="I31" s="59">
        <f ca="1">SUM($D$4:D31)</f>
        <v>3898577.7890771539</v>
      </c>
      <c r="J31" s="51">
        <f ca="1">SUM(OFFSET(MonthAmort!$L$3,1,0,A31*12,1))</f>
        <v>2931420.8416444021</v>
      </c>
      <c r="K31" s="59">
        <f ca="1">SUM($E$4:E31)</f>
        <v>2500000.0000000005</v>
      </c>
    </row>
    <row r="32" spans="1:11" ht="16.05" customHeight="1" x14ac:dyDescent="0.25">
      <c r="A32" s="58">
        <v>29</v>
      </c>
      <c r="B32" s="12">
        <f t="shared" ca="1" si="2"/>
        <v>0</v>
      </c>
      <c r="C32" s="12">
        <f ca="1">IF(B32=0,0,BondCalculator!$B$12*12)</f>
        <v>0</v>
      </c>
      <c r="D32" s="12">
        <f ca="1">SUM(OFFSET(MonthAmort!$E$3,(12*A31)+1,0,12,1))</f>
        <v>0</v>
      </c>
      <c r="E32" s="12">
        <f ca="1">SUM(OFFSET(MonthAmort!$F$3,(12*A31)+1,0,12,1))</f>
        <v>0</v>
      </c>
      <c r="F32" s="12">
        <f t="shared" ca="1" si="0"/>
        <v>0</v>
      </c>
      <c r="G32" s="52">
        <f t="shared" ca="1" si="1"/>
        <v>0</v>
      </c>
      <c r="I32" s="59">
        <f ca="1">SUM($D$4:D32)</f>
        <v>3898577.7890771539</v>
      </c>
      <c r="J32" s="51">
        <f ca="1">SUM(OFFSET(MonthAmort!$L$3,1,0,A32*12,1))</f>
        <v>2931420.8416444021</v>
      </c>
      <c r="K32" s="59">
        <f ca="1">SUM($E$4:E32)</f>
        <v>2500000.0000000005</v>
      </c>
    </row>
    <row r="33" spans="1:11" ht="16.05" customHeight="1" x14ac:dyDescent="0.25">
      <c r="A33" s="58">
        <v>30</v>
      </c>
      <c r="B33" s="12">
        <f t="shared" ca="1" si="2"/>
        <v>0</v>
      </c>
      <c r="C33" s="12">
        <f ca="1">IF(B33=0,0,BondCalculator!$B$12*12)</f>
        <v>0</v>
      </c>
      <c r="D33" s="12">
        <f ca="1">SUM(OFFSET(MonthAmort!$E$3,(12*A32)+1,0,12,1))</f>
        <v>0</v>
      </c>
      <c r="E33" s="12">
        <f ca="1">SUM(OFFSET(MonthAmort!$F$3,(12*A32)+1,0,12,1))</f>
        <v>0</v>
      </c>
      <c r="F33" s="12">
        <f t="shared" ca="1" si="0"/>
        <v>0</v>
      </c>
      <c r="G33" s="52">
        <f t="shared" ca="1" si="1"/>
        <v>0</v>
      </c>
      <c r="I33" s="59">
        <f ca="1">SUM($D$4:D33)</f>
        <v>3898577.7890771539</v>
      </c>
      <c r="J33" s="51">
        <f ca="1">SUM(OFFSET(MonthAmort!$L$3,1,0,A33*12,1))</f>
        <v>2931420.8416444021</v>
      </c>
      <c r="K33" s="59">
        <f ca="1">SUM($E$4:E33)</f>
        <v>2500000.0000000005</v>
      </c>
    </row>
  </sheetData>
  <phoneticPr fontId="3" type="noConversion"/>
  <pageMargins left="0.75" right="0.75" top="1" bottom="1" header="0.5" footer="0.5"/>
  <pageSetup paperSize="9" scale="80"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64"/>
  <sheetViews>
    <sheetView zoomScale="95" workbookViewId="0">
      <pane xSplit="1" ySplit="3" topLeftCell="B4" activePane="bottomRight" state="frozen"/>
      <selection pane="topRight" activeCell="B1" sqref="B1"/>
      <selection pane="bottomLeft" activeCell="A4" sqref="A4"/>
      <selection pane="bottomRight" activeCell="B3" sqref="B3"/>
    </sheetView>
  </sheetViews>
  <sheetFormatPr defaultColWidth="9.109375" defaultRowHeight="16.05" customHeight="1" x14ac:dyDescent="0.25"/>
  <cols>
    <col min="1" max="1" width="0" style="61" hidden="1" customWidth="1"/>
    <col min="2" max="2" width="16.77734375" style="61" customWidth="1"/>
    <col min="3" max="7" width="16.77734375" style="12" customWidth="1"/>
    <col min="8" max="8" width="16.77734375" style="22" customWidth="1"/>
    <col min="9" max="9" width="3.6640625" style="61" customWidth="1"/>
    <col min="10" max="14" width="15.6640625" style="62" hidden="1" customWidth="1"/>
    <col min="15" max="15" width="5.6640625" style="61" hidden="1" customWidth="1"/>
    <col min="16" max="16" width="15.6640625" style="51" hidden="1" customWidth="1"/>
    <col min="17" max="17" width="15.6640625" style="63" hidden="1" customWidth="1"/>
    <col min="18" max="18" width="5.6640625" style="51" hidden="1" customWidth="1"/>
    <col min="19" max="19" width="15.6640625" style="64" hidden="1" customWidth="1"/>
    <col min="20" max="24" width="12.6640625" style="61" customWidth="1"/>
    <col min="25" max="16384" width="9.109375" style="61"/>
  </cols>
  <sheetData>
    <row r="1" spans="1:19" ht="16.05" customHeight="1" x14ac:dyDescent="0.25">
      <c r="B1" s="60" t="s">
        <v>140</v>
      </c>
      <c r="H1" s="14"/>
    </row>
    <row r="2" spans="1:19" ht="16.05" customHeight="1" x14ac:dyDescent="0.25">
      <c r="B2" s="7" t="s">
        <v>207</v>
      </c>
    </row>
    <row r="3" spans="1:19" s="65" customFormat="1" ht="25.2" x14ac:dyDescent="0.2">
      <c r="B3" s="66" t="s">
        <v>3</v>
      </c>
      <c r="C3" s="54" t="s">
        <v>173</v>
      </c>
      <c r="D3" s="54" t="s">
        <v>212</v>
      </c>
      <c r="E3" s="54" t="s">
        <v>213</v>
      </c>
      <c r="F3" s="54" t="s">
        <v>211</v>
      </c>
      <c r="G3" s="54" t="s">
        <v>214</v>
      </c>
      <c r="H3" s="67" t="s">
        <v>2</v>
      </c>
      <c r="I3" s="68"/>
      <c r="J3" s="69" t="s">
        <v>173</v>
      </c>
      <c r="K3" s="69" t="s">
        <v>91</v>
      </c>
      <c r="L3" s="69" t="s">
        <v>175</v>
      </c>
      <c r="M3" s="69" t="s">
        <v>176</v>
      </c>
      <c r="N3" s="69" t="s">
        <v>174</v>
      </c>
      <c r="P3" s="69" t="s">
        <v>0</v>
      </c>
      <c r="Q3" s="70" t="s">
        <v>92</v>
      </c>
      <c r="R3" s="69"/>
      <c r="S3" s="71" t="s">
        <v>93</v>
      </c>
    </row>
    <row r="4" spans="1:19" ht="16.05" customHeight="1" x14ac:dyDescent="0.25">
      <c r="A4" s="61" t="s">
        <v>94</v>
      </c>
      <c r="B4" s="72">
        <v>1</v>
      </c>
      <c r="C4" s="12">
        <f>BondCalculator!$B$4</f>
        <v>2500000</v>
      </c>
      <c r="D4" s="12">
        <f>BondCalculator!$B$12</f>
        <v>26660.740787821473</v>
      </c>
      <c r="E4" s="12">
        <f>C4*BondCalculator!$B$5/12</f>
        <v>23958.333333333332</v>
      </c>
      <c r="F4" s="12">
        <f>D4-E4</f>
        <v>2702.4074544881405</v>
      </c>
      <c r="G4" s="12">
        <f>IF(ROUND(C4-F4,2)=0,0,C4-F4)</f>
        <v>2497297.5925455117</v>
      </c>
      <c r="H4" s="22">
        <f>IF($C$4=0,0,G4/$C$4)</f>
        <v>0.99891903701820461</v>
      </c>
      <c r="J4" s="51">
        <f>BondCalculator!B4</f>
        <v>2500000</v>
      </c>
      <c r="K4" s="51">
        <f>BondCalculator!$B$12+BondCalculator!$B$7</f>
        <v>28660.740787821473</v>
      </c>
      <c r="L4" s="51">
        <f>J4*BondCalculator!$B$5/12</f>
        <v>23958.333333333332</v>
      </c>
      <c r="M4" s="51">
        <f>IF(K4-L4&gt;N3,N3,K4-L4)</f>
        <v>4702.4074544881405</v>
      </c>
      <c r="N4" s="51">
        <f t="shared" ref="N4:N67" si="0">J4-M4</f>
        <v>2495297.5925455117</v>
      </c>
      <c r="P4" s="51">
        <f t="shared" ref="P4:P67" si="1">E4-L4</f>
        <v>0</v>
      </c>
      <c r="Q4" s="63">
        <f>-PV(BondCalculator!$B$9/12,B4,0,1,0)</f>
        <v>0.99502487562189068</v>
      </c>
      <c r="S4" s="64">
        <f t="shared" ref="S4:S67" si="2">P4*Q4</f>
        <v>0</v>
      </c>
    </row>
    <row r="5" spans="1:19" ht="16.05" customHeight="1" x14ac:dyDescent="0.25">
      <c r="A5" s="61" t="s">
        <v>94</v>
      </c>
      <c r="B5" s="72">
        <v>2</v>
      </c>
      <c r="C5" s="12">
        <f>G4</f>
        <v>2497297.5925455117</v>
      </c>
      <c r="D5" s="12">
        <f>IF(G4=0,0,IF(G4&lt;BondCalculator!$B$12,G4+E5,BondCalculator!$B$12))</f>
        <v>26660.740787821473</v>
      </c>
      <c r="E5" s="12">
        <f>C5*BondCalculator!$B$5/12</f>
        <v>23932.435261894487</v>
      </c>
      <c r="F5" s="12">
        <f t="shared" ref="F5:F68" si="3">D5-E5</f>
        <v>2728.3055259269859</v>
      </c>
      <c r="G5" s="12">
        <f t="shared" ref="G5:G68" si="4">IF(ROUND(C5-F5,2)=0,0,C5-F5)</f>
        <v>2494569.2870195848</v>
      </c>
      <c r="H5" s="22">
        <f t="shared" ref="H5:H68" si="5">IF($C$4=0,0,G5/$C$4)</f>
        <v>0.99782771480783394</v>
      </c>
      <c r="J5" s="51">
        <f t="shared" ref="J5:J68" si="6">IF(ROUND(N4,0)&gt;0,N4,0)</f>
        <v>2495297.5925455117</v>
      </c>
      <c r="K5" s="51">
        <f>IF(N4=0,0,IF(N4&lt;BondCalculator!$B$12+BondCalculator!$B$7,N4+L5,BondCalculator!$B$12+BondCalculator!$B$7))</f>
        <v>28660.740787821473</v>
      </c>
      <c r="L5" s="51">
        <f>J5*BondCalculator!$B$5/12</f>
        <v>23913.268595227823</v>
      </c>
      <c r="M5" s="51">
        <f t="shared" ref="M5:M68" si="7">IF(K5-L5&gt;N4,N4,K5-L5)</f>
        <v>4747.4721925936501</v>
      </c>
      <c r="N5" s="51">
        <f t="shared" si="0"/>
        <v>2490550.1203529178</v>
      </c>
      <c r="P5" s="51">
        <f t="shared" si="1"/>
        <v>19.166666666664241</v>
      </c>
      <c r="Q5" s="63">
        <f>-PV(BondCalculator!$B$9/12,B5,0,1,0)</f>
        <v>0.99007450310635903</v>
      </c>
      <c r="S5" s="64">
        <f t="shared" si="2"/>
        <v>18.976427976202814</v>
      </c>
    </row>
    <row r="6" spans="1:19" ht="16.05" customHeight="1" x14ac:dyDescent="0.25">
      <c r="A6" s="61" t="s">
        <v>94</v>
      </c>
      <c r="B6" s="72">
        <v>3</v>
      </c>
      <c r="C6" s="12">
        <f t="shared" ref="C6:C69" si="8">G5</f>
        <v>2494569.2870195848</v>
      </c>
      <c r="D6" s="12">
        <f>IF(G5=0,0,IF(G5&lt;BondCalculator!$B$12,G5+E6,BondCalculator!$B$12))</f>
        <v>26660.740787821473</v>
      </c>
      <c r="E6" s="12">
        <f>C6*BondCalculator!$B$5/12</f>
        <v>23906.289000604356</v>
      </c>
      <c r="F6" s="12">
        <f t="shared" si="3"/>
        <v>2754.4517872171164</v>
      </c>
      <c r="G6" s="12">
        <f t="shared" si="4"/>
        <v>2491814.8352323677</v>
      </c>
      <c r="H6" s="22">
        <f t="shared" si="5"/>
        <v>0.99672593409294707</v>
      </c>
      <c r="J6" s="51">
        <f t="shared" si="6"/>
        <v>2490550.1203529178</v>
      </c>
      <c r="K6" s="51">
        <f>IF(N5=0,0,IF(N5&lt;BondCalculator!$B$12+BondCalculator!$B$7,N5+L6,BondCalculator!$B$12+BondCalculator!$B$7))</f>
        <v>28660.740787821473</v>
      </c>
      <c r="L6" s="51">
        <f>J6*BondCalculator!$B$5/12</f>
        <v>23867.771986715463</v>
      </c>
      <c r="M6" s="51">
        <f t="shared" si="7"/>
        <v>4792.9688011060098</v>
      </c>
      <c r="N6" s="51">
        <f t="shared" si="0"/>
        <v>2485757.151551812</v>
      </c>
      <c r="P6" s="51">
        <f t="shared" si="1"/>
        <v>38.517013888893416</v>
      </c>
      <c r="Q6" s="63">
        <f>-PV(BondCalculator!$B$9/12,B6,0,1,0)</f>
        <v>0.98514875930981005</v>
      </c>
      <c r="S6" s="64">
        <f t="shared" si="2"/>
        <v>37.944988444962071</v>
      </c>
    </row>
    <row r="7" spans="1:19" ht="16.05" customHeight="1" x14ac:dyDescent="0.25">
      <c r="A7" s="61" t="s">
        <v>94</v>
      </c>
      <c r="B7" s="72">
        <v>4</v>
      </c>
      <c r="C7" s="12">
        <f t="shared" si="8"/>
        <v>2491814.8352323677</v>
      </c>
      <c r="D7" s="12">
        <f>IF(G6=0,0,IF(G6&lt;BondCalculator!$B$12,G6+E7,BondCalculator!$B$12))</f>
        <v>26660.740787821473</v>
      </c>
      <c r="E7" s="12">
        <f>C7*BondCalculator!$B$5/12</f>
        <v>23879.892170976858</v>
      </c>
      <c r="F7" s="12">
        <f t="shared" si="3"/>
        <v>2780.8486168446143</v>
      </c>
      <c r="G7" s="12">
        <f t="shared" si="4"/>
        <v>2489033.9866155232</v>
      </c>
      <c r="H7" s="22">
        <f t="shared" si="5"/>
        <v>0.99561359464620924</v>
      </c>
      <c r="J7" s="51">
        <f t="shared" si="6"/>
        <v>2485757.151551812</v>
      </c>
      <c r="K7" s="51">
        <f>IF(N6=0,0,IF(N6&lt;BondCalculator!$B$12+BondCalculator!$B$7,N6+L7,BondCalculator!$B$12+BondCalculator!$B$7))</f>
        <v>28660.740787821473</v>
      </c>
      <c r="L7" s="51">
        <f>J7*BondCalculator!$B$5/12</f>
        <v>23821.839369038196</v>
      </c>
      <c r="M7" s="51">
        <f t="shared" si="7"/>
        <v>4838.9014187832763</v>
      </c>
      <c r="N7" s="51">
        <f t="shared" si="0"/>
        <v>2480918.2501330287</v>
      </c>
      <c r="P7" s="51">
        <f t="shared" si="1"/>
        <v>58.052801938662014</v>
      </c>
      <c r="Q7" s="63">
        <f>-PV(BondCalculator!$B$9/12,B7,0,1,0)</f>
        <v>0.9802475217013038</v>
      </c>
      <c r="S7" s="64">
        <f t="shared" si="2"/>
        <v>56.906115228190082</v>
      </c>
    </row>
    <row r="8" spans="1:19" ht="16.05" customHeight="1" x14ac:dyDescent="0.25">
      <c r="A8" s="61" t="s">
        <v>94</v>
      </c>
      <c r="B8" s="72">
        <v>5</v>
      </c>
      <c r="C8" s="12">
        <f t="shared" si="8"/>
        <v>2489033.9866155232</v>
      </c>
      <c r="D8" s="12">
        <f>IF(G7=0,0,IF(G7&lt;BondCalculator!$B$12,G7+E8,BondCalculator!$B$12))</f>
        <v>26660.740787821473</v>
      </c>
      <c r="E8" s="12">
        <f>C8*BondCalculator!$B$5/12</f>
        <v>23853.242371732096</v>
      </c>
      <c r="F8" s="12">
        <f t="shared" si="3"/>
        <v>2807.4984160893764</v>
      </c>
      <c r="G8" s="12">
        <f t="shared" si="4"/>
        <v>2486226.4881994338</v>
      </c>
      <c r="H8" s="22">
        <f t="shared" si="5"/>
        <v>0.99449059527977346</v>
      </c>
      <c r="J8" s="51">
        <f t="shared" si="6"/>
        <v>2480918.2501330287</v>
      </c>
      <c r="K8" s="51">
        <f>IF(N7=0,0,IF(N7&lt;BondCalculator!$B$12+BondCalculator!$B$7,N7+L8,BondCalculator!$B$12+BondCalculator!$B$7))</f>
        <v>28660.740787821473</v>
      </c>
      <c r="L8" s="51">
        <f>J8*BondCalculator!$B$5/12</f>
        <v>23775.466563774859</v>
      </c>
      <c r="M8" s="51">
        <f t="shared" si="7"/>
        <v>4885.2742240466141</v>
      </c>
      <c r="N8" s="51">
        <f t="shared" si="0"/>
        <v>2476032.9759089821</v>
      </c>
      <c r="P8" s="51">
        <f t="shared" si="1"/>
        <v>77.775807957237703</v>
      </c>
      <c r="Q8" s="63">
        <f>-PV(BondCalculator!$B$9/12,B8,0,1,0)</f>
        <v>0.97537066835950648</v>
      </c>
      <c r="S8" s="64">
        <f t="shared" si="2"/>
        <v>75.860241789451564</v>
      </c>
    </row>
    <row r="9" spans="1:19" ht="16.05" customHeight="1" x14ac:dyDescent="0.25">
      <c r="A9" s="61" t="s">
        <v>94</v>
      </c>
      <c r="B9" s="72">
        <v>6</v>
      </c>
      <c r="C9" s="12">
        <f t="shared" si="8"/>
        <v>2486226.4881994338</v>
      </c>
      <c r="D9" s="12">
        <f>IF(G8=0,0,IF(G8&lt;BondCalculator!$B$12,G8+E9,BondCalculator!$B$12))</f>
        <v>26660.740787821473</v>
      </c>
      <c r="E9" s="12">
        <f>C9*BondCalculator!$B$5/12</f>
        <v>23826.337178577905</v>
      </c>
      <c r="F9" s="12">
        <f t="shared" si="3"/>
        <v>2834.4036092435672</v>
      </c>
      <c r="G9" s="12">
        <f t="shared" si="4"/>
        <v>2483392.0845901901</v>
      </c>
      <c r="H9" s="22">
        <f t="shared" si="5"/>
        <v>0.99335683383607598</v>
      </c>
      <c r="J9" s="51">
        <f t="shared" si="6"/>
        <v>2476032.9759089821</v>
      </c>
      <c r="K9" s="51">
        <f>IF(N8=0,0,IF(N8&lt;BondCalculator!$B$12+BondCalculator!$B$7,N8+L9,BondCalculator!$B$12+BondCalculator!$B$7))</f>
        <v>28660.740787821473</v>
      </c>
      <c r="L9" s="51">
        <f>J9*BondCalculator!$B$5/12</f>
        <v>23728.649352461081</v>
      </c>
      <c r="M9" s="51">
        <f t="shared" si="7"/>
        <v>4932.0914353603912</v>
      </c>
      <c r="N9" s="51">
        <f t="shared" si="0"/>
        <v>2471100.8844736218</v>
      </c>
      <c r="P9" s="51">
        <f t="shared" si="1"/>
        <v>97.687826116823999</v>
      </c>
      <c r="Q9" s="63">
        <f>-PV(BondCalculator!$B$9/12,B9,0,1,0)</f>
        <v>0.97051807796965839</v>
      </c>
      <c r="S9" s="64">
        <f t="shared" si="2"/>
        <v>94.807801243934222</v>
      </c>
    </row>
    <row r="10" spans="1:19" ht="16.05" customHeight="1" x14ac:dyDescent="0.25">
      <c r="A10" s="61" t="s">
        <v>94</v>
      </c>
      <c r="B10" s="72">
        <v>7</v>
      </c>
      <c r="C10" s="12">
        <f t="shared" si="8"/>
        <v>2483392.0845901901</v>
      </c>
      <c r="D10" s="12">
        <f>IF(G9=0,0,IF(G9&lt;BondCalculator!$B$12,G9+E10,BondCalculator!$B$12))</f>
        <v>26660.740787821473</v>
      </c>
      <c r="E10" s="12">
        <f>C10*BondCalculator!$B$5/12</f>
        <v>23799.174143989323</v>
      </c>
      <c r="F10" s="12">
        <f t="shared" si="3"/>
        <v>2861.5666438321496</v>
      </c>
      <c r="G10" s="12">
        <f t="shared" si="4"/>
        <v>2480530.5179463578</v>
      </c>
      <c r="H10" s="22">
        <f t="shared" si="5"/>
        <v>0.99221220717854308</v>
      </c>
      <c r="J10" s="51">
        <f t="shared" si="6"/>
        <v>2471100.8844736218</v>
      </c>
      <c r="K10" s="51">
        <f>IF(N9=0,0,IF(N9&lt;BondCalculator!$B$12+BondCalculator!$B$7,N9+L10,BondCalculator!$B$12+BondCalculator!$B$7))</f>
        <v>28660.740787821473</v>
      </c>
      <c r="L10" s="51">
        <f>J10*BondCalculator!$B$5/12</f>
        <v>23681.383476205545</v>
      </c>
      <c r="M10" s="51">
        <f t="shared" si="7"/>
        <v>4979.3573116159278</v>
      </c>
      <c r="N10" s="51">
        <f t="shared" si="0"/>
        <v>2466121.5271620061</v>
      </c>
      <c r="P10" s="51">
        <f t="shared" si="1"/>
        <v>117.79066778377819</v>
      </c>
      <c r="Q10" s="63">
        <f>-PV(BondCalculator!$B$9/12,B10,0,1,0)</f>
        <v>0.96568962982055562</v>
      </c>
      <c r="S10" s="64">
        <f t="shared" si="2"/>
        <v>113.7492263684328</v>
      </c>
    </row>
    <row r="11" spans="1:19" ht="16.05" customHeight="1" x14ac:dyDescent="0.25">
      <c r="A11" s="61" t="s">
        <v>94</v>
      </c>
      <c r="B11" s="72">
        <v>8</v>
      </c>
      <c r="C11" s="12">
        <f t="shared" si="8"/>
        <v>2480530.5179463578</v>
      </c>
      <c r="D11" s="12">
        <f>IF(G10=0,0,IF(G10&lt;BondCalculator!$B$12,G10+E11,BondCalculator!$B$12))</f>
        <v>26660.740787821473</v>
      </c>
      <c r="E11" s="12">
        <f>C11*BondCalculator!$B$5/12</f>
        <v>23771.750796985929</v>
      </c>
      <c r="F11" s="12">
        <f t="shared" si="3"/>
        <v>2888.9899908355437</v>
      </c>
      <c r="G11" s="12">
        <f t="shared" si="4"/>
        <v>2477641.5279555223</v>
      </c>
      <c r="H11" s="22">
        <f t="shared" si="5"/>
        <v>0.99105661118220889</v>
      </c>
      <c r="J11" s="51">
        <f t="shared" si="6"/>
        <v>2466121.5271620061</v>
      </c>
      <c r="K11" s="51">
        <f>IF(N10=0,0,IF(N10&lt;BondCalculator!$B$12+BondCalculator!$B$7,N10+L11,BondCalculator!$B$12+BondCalculator!$B$7))</f>
        <v>28660.740787821473</v>
      </c>
      <c r="L11" s="51">
        <f>J11*BondCalculator!$B$5/12</f>
        <v>23633.664635302561</v>
      </c>
      <c r="M11" s="51">
        <f t="shared" si="7"/>
        <v>5027.0761525189118</v>
      </c>
      <c r="N11" s="51">
        <f t="shared" si="0"/>
        <v>2461094.4510094873</v>
      </c>
      <c r="P11" s="51">
        <f t="shared" si="1"/>
        <v>138.08616168336812</v>
      </c>
      <c r="Q11" s="63">
        <f>-PV(BondCalculator!$B$9/12,B11,0,1,0)</f>
        <v>0.96088520380154796</v>
      </c>
      <c r="S11" s="64">
        <f t="shared" si="2"/>
        <v>132.68494961129667</v>
      </c>
    </row>
    <row r="12" spans="1:19" ht="16.05" customHeight="1" x14ac:dyDescent="0.25">
      <c r="A12" s="61" t="s">
        <v>94</v>
      </c>
      <c r="B12" s="72">
        <v>9</v>
      </c>
      <c r="C12" s="12">
        <f t="shared" si="8"/>
        <v>2477641.5279555223</v>
      </c>
      <c r="D12" s="12">
        <f>IF(G11=0,0,IF(G11&lt;BondCalculator!$B$12,G11+E12,BondCalculator!$B$12))</f>
        <v>26660.740787821473</v>
      </c>
      <c r="E12" s="12">
        <f>C12*BondCalculator!$B$5/12</f>
        <v>23744.064642907091</v>
      </c>
      <c r="F12" s="12">
        <f t="shared" si="3"/>
        <v>2916.6761449143814</v>
      </c>
      <c r="G12" s="12">
        <f t="shared" si="4"/>
        <v>2474724.8518106081</v>
      </c>
      <c r="H12" s="22">
        <f t="shared" si="5"/>
        <v>0.98988994072424319</v>
      </c>
      <c r="J12" s="51">
        <f t="shared" si="6"/>
        <v>2461094.4510094873</v>
      </c>
      <c r="K12" s="51">
        <f>IF(N11=0,0,IF(N11&lt;BondCalculator!$B$12+BondCalculator!$B$7,N11+L12,BondCalculator!$B$12+BondCalculator!$B$7))</f>
        <v>28660.740787821473</v>
      </c>
      <c r="L12" s="51">
        <f>J12*BondCalculator!$B$5/12</f>
        <v>23585.488488840918</v>
      </c>
      <c r="M12" s="51">
        <f t="shared" si="7"/>
        <v>5075.2522989805548</v>
      </c>
      <c r="N12" s="51">
        <f t="shared" si="0"/>
        <v>2456019.1987105068</v>
      </c>
      <c r="P12" s="51">
        <f t="shared" si="1"/>
        <v>158.57615406617333</v>
      </c>
      <c r="Q12" s="63">
        <f>-PV(BondCalculator!$B$9/12,B12,0,1,0)</f>
        <v>0.95610468039955032</v>
      </c>
      <c r="S12" s="64">
        <f t="shared" si="2"/>
        <v>151.6154031024285</v>
      </c>
    </row>
    <row r="13" spans="1:19" ht="16.05" customHeight="1" x14ac:dyDescent="0.25">
      <c r="A13" s="61" t="s">
        <v>94</v>
      </c>
      <c r="B13" s="72">
        <v>10</v>
      </c>
      <c r="C13" s="12">
        <f t="shared" si="8"/>
        <v>2474724.8518106081</v>
      </c>
      <c r="D13" s="12">
        <f>IF(G12=0,0,IF(G12&lt;BondCalculator!$B$12,G12+E13,BondCalculator!$B$12))</f>
        <v>26660.740787821473</v>
      </c>
      <c r="E13" s="12">
        <f>C13*BondCalculator!$B$5/12</f>
        <v>23716.113163184997</v>
      </c>
      <c r="F13" s="12">
        <f t="shared" si="3"/>
        <v>2944.627624636476</v>
      </c>
      <c r="G13" s="12">
        <f t="shared" si="4"/>
        <v>2471780.2241859715</v>
      </c>
      <c r="H13" s="22">
        <f t="shared" si="5"/>
        <v>0.98871208967438862</v>
      </c>
      <c r="J13" s="51">
        <f t="shared" si="6"/>
        <v>2456019.1987105068</v>
      </c>
      <c r="K13" s="51">
        <f>IF(N12=0,0,IF(N12&lt;BondCalculator!$B$12+BondCalculator!$B$7,N12+L13,BondCalculator!$B$12+BondCalculator!$B$7))</f>
        <v>28660.740787821473</v>
      </c>
      <c r="L13" s="51">
        <f>J13*BondCalculator!$B$5/12</f>
        <v>23536.850654309023</v>
      </c>
      <c r="M13" s="51">
        <f t="shared" si="7"/>
        <v>5123.8901335124501</v>
      </c>
      <c r="N13" s="51">
        <f t="shared" si="0"/>
        <v>2450895.3085769941</v>
      </c>
      <c r="P13" s="51">
        <f t="shared" si="1"/>
        <v>179.26250887597416</v>
      </c>
      <c r="Q13" s="63">
        <f>-PV(BondCalculator!$B$9/12,B13,0,1,0)</f>
        <v>0.95134794069607009</v>
      </c>
      <c r="S13" s="64">
        <f t="shared" si="2"/>
        <v>170.54101866316901</v>
      </c>
    </row>
    <row r="14" spans="1:19" ht="16.05" customHeight="1" x14ac:dyDescent="0.25">
      <c r="A14" s="61" t="s">
        <v>94</v>
      </c>
      <c r="B14" s="72">
        <v>11</v>
      </c>
      <c r="C14" s="12">
        <f t="shared" si="8"/>
        <v>2471780.2241859715</v>
      </c>
      <c r="D14" s="12">
        <f>IF(G13=0,0,IF(G13&lt;BondCalculator!$B$12,G13+E14,BondCalculator!$B$12))</f>
        <v>26660.740787821473</v>
      </c>
      <c r="E14" s="12">
        <f>C14*BondCalculator!$B$5/12</f>
        <v>23687.89381511556</v>
      </c>
      <c r="F14" s="12">
        <f t="shared" si="3"/>
        <v>2972.8469727059128</v>
      </c>
      <c r="G14" s="12">
        <f t="shared" si="4"/>
        <v>2468807.3772132657</v>
      </c>
      <c r="H14" s="22">
        <f t="shared" si="5"/>
        <v>0.98752295088530628</v>
      </c>
      <c r="J14" s="51">
        <f t="shared" si="6"/>
        <v>2450895.3085769941</v>
      </c>
      <c r="K14" s="51">
        <f>IF(N13=0,0,IF(N13&lt;BondCalculator!$B$12+BondCalculator!$B$7,N13+L14,BondCalculator!$B$12+BondCalculator!$B$7))</f>
        <v>28660.740787821473</v>
      </c>
      <c r="L14" s="51">
        <f>J14*BondCalculator!$B$5/12</f>
        <v>23487.746707196191</v>
      </c>
      <c r="M14" s="51">
        <f t="shared" si="7"/>
        <v>5172.9940806252816</v>
      </c>
      <c r="N14" s="51">
        <f t="shared" si="0"/>
        <v>2445722.3144963686</v>
      </c>
      <c r="P14" s="51">
        <f t="shared" si="1"/>
        <v>200.14710791936886</v>
      </c>
      <c r="Q14" s="63">
        <f>-PV(BondCalculator!$B$9/12,B14,0,1,0)</f>
        <v>0.94661486636424896</v>
      </c>
      <c r="S14" s="64">
        <f t="shared" si="2"/>
        <v>189.46222781628427</v>
      </c>
    </row>
    <row r="15" spans="1:19" ht="16.05" customHeight="1" x14ac:dyDescent="0.25">
      <c r="A15" s="61" t="s">
        <v>94</v>
      </c>
      <c r="B15" s="72">
        <v>12</v>
      </c>
      <c r="C15" s="12">
        <f t="shared" si="8"/>
        <v>2468807.3772132657</v>
      </c>
      <c r="D15" s="12">
        <f>IF(G14=0,0,IF(G14&lt;BondCalculator!$B$12,G14+E15,BondCalculator!$B$12))</f>
        <v>26660.740787821473</v>
      </c>
      <c r="E15" s="12">
        <f>C15*BondCalculator!$B$5/12</f>
        <v>23659.404031627131</v>
      </c>
      <c r="F15" s="12">
        <f t="shared" si="3"/>
        <v>3001.3367561943414</v>
      </c>
      <c r="G15" s="12">
        <f t="shared" si="4"/>
        <v>2465806.0404570713</v>
      </c>
      <c r="H15" s="22">
        <f t="shared" si="5"/>
        <v>0.98632241618282845</v>
      </c>
      <c r="J15" s="51">
        <f t="shared" si="6"/>
        <v>2445722.3144963686</v>
      </c>
      <c r="K15" s="51">
        <f>IF(N14=0,0,IF(N14&lt;BondCalculator!$B$12+BondCalculator!$B$7,N14+L15,BondCalculator!$B$12+BondCalculator!$B$7))</f>
        <v>28660.740787821473</v>
      </c>
      <c r="L15" s="51">
        <f>J15*BondCalculator!$B$5/12</f>
        <v>23438.172180590202</v>
      </c>
      <c r="M15" s="51">
        <f t="shared" si="7"/>
        <v>5222.568607231271</v>
      </c>
      <c r="N15" s="51">
        <f t="shared" si="0"/>
        <v>2440499.7458891375</v>
      </c>
      <c r="P15" s="51">
        <f t="shared" si="1"/>
        <v>221.23185103692958</v>
      </c>
      <c r="Q15" s="63">
        <f>-PV(BondCalculator!$B$9/12,B15,0,1,0)</f>
        <v>0.94190533966591972</v>
      </c>
      <c r="S15" s="64">
        <f t="shared" si="2"/>
        <v>208.3794617958593</v>
      </c>
    </row>
    <row r="16" spans="1:19" ht="16.05" customHeight="1" x14ac:dyDescent="0.25">
      <c r="A16" s="61" t="s">
        <v>95</v>
      </c>
      <c r="B16" s="72">
        <v>13</v>
      </c>
      <c r="C16" s="12">
        <f t="shared" si="8"/>
        <v>2465806.0404570713</v>
      </c>
      <c r="D16" s="12">
        <f>IF(G15=0,0,IF(G15&lt;BondCalculator!$B$12,G15+E16,BondCalculator!$B$12))</f>
        <v>26660.740787821473</v>
      </c>
      <c r="E16" s="12">
        <f>C16*BondCalculator!$B$5/12</f>
        <v>23630.641221046932</v>
      </c>
      <c r="F16" s="12">
        <f t="shared" si="3"/>
        <v>3030.099566774541</v>
      </c>
      <c r="G16" s="12">
        <f t="shared" si="4"/>
        <v>2462775.9408902968</v>
      </c>
      <c r="H16" s="22">
        <f t="shared" si="5"/>
        <v>0.98511037635611876</v>
      </c>
      <c r="J16" s="51">
        <f t="shared" si="6"/>
        <v>2440499.7458891375</v>
      </c>
      <c r="K16" s="51">
        <f>IF(N15=0,0,IF(N15&lt;BondCalculator!$B$12+BondCalculator!$B$7,N15+L16,BondCalculator!$B$12+BondCalculator!$B$7))</f>
        <v>28660.740787821473</v>
      </c>
      <c r="L16" s="51">
        <f>J16*BondCalculator!$B$5/12</f>
        <v>23388.122564770903</v>
      </c>
      <c r="M16" s="51">
        <f t="shared" si="7"/>
        <v>5272.6182230505692</v>
      </c>
      <c r="N16" s="51">
        <f t="shared" si="0"/>
        <v>2435227.1276660869</v>
      </c>
      <c r="P16" s="51">
        <f t="shared" si="1"/>
        <v>242.5186562760282</v>
      </c>
      <c r="Q16" s="63">
        <f>-PV(BondCalculator!$B$9/12,B16,0,1,0)</f>
        <v>0.93721924344867635</v>
      </c>
      <c r="S16" s="64">
        <f t="shared" si="2"/>
        <v>227.29315155720874</v>
      </c>
    </row>
    <row r="17" spans="1:19" ht="16.05" customHeight="1" x14ac:dyDescent="0.25">
      <c r="A17" s="61" t="s">
        <v>95</v>
      </c>
      <c r="B17" s="72">
        <v>14</v>
      </c>
      <c r="C17" s="12">
        <f t="shared" si="8"/>
        <v>2462775.9408902968</v>
      </c>
      <c r="D17" s="12">
        <f>IF(G16=0,0,IF(G16&lt;BondCalculator!$B$12,G16+E17,BondCalculator!$B$12))</f>
        <v>26660.740787821473</v>
      </c>
      <c r="E17" s="12">
        <f>C17*BondCalculator!$B$5/12</f>
        <v>23601.602766865344</v>
      </c>
      <c r="F17" s="12">
        <f t="shared" si="3"/>
        <v>3059.1380209561285</v>
      </c>
      <c r="G17" s="12">
        <f t="shared" si="4"/>
        <v>2459716.8028693409</v>
      </c>
      <c r="H17" s="22">
        <f t="shared" si="5"/>
        <v>0.98388672114773634</v>
      </c>
      <c r="J17" s="51">
        <f t="shared" si="6"/>
        <v>2435227.1276660869</v>
      </c>
      <c r="K17" s="51">
        <f>IF(N16=0,0,IF(N16&lt;BondCalculator!$B$12+BondCalculator!$B$7,N16+L17,BondCalculator!$B$12+BondCalculator!$B$7))</f>
        <v>28660.740787821473</v>
      </c>
      <c r="L17" s="51">
        <f>J17*BondCalculator!$B$5/12</f>
        <v>23337.593306800001</v>
      </c>
      <c r="M17" s="51">
        <f t="shared" si="7"/>
        <v>5323.1474810214713</v>
      </c>
      <c r="N17" s="51">
        <f t="shared" si="0"/>
        <v>2429903.9801850654</v>
      </c>
      <c r="P17" s="51">
        <f t="shared" si="1"/>
        <v>264.00946006534286</v>
      </c>
      <c r="Q17" s="63">
        <f>-PV(BondCalculator!$B$9/12,B17,0,1,0)</f>
        <v>0.93255646114296176</v>
      </c>
      <c r="S17" s="64">
        <f t="shared" si="2"/>
        <v>246.20372778680021</v>
      </c>
    </row>
    <row r="18" spans="1:19" ht="16.05" customHeight="1" x14ac:dyDescent="0.25">
      <c r="A18" s="61" t="s">
        <v>95</v>
      </c>
      <c r="B18" s="72">
        <v>15</v>
      </c>
      <c r="C18" s="12">
        <f t="shared" si="8"/>
        <v>2459716.8028693409</v>
      </c>
      <c r="D18" s="12">
        <f>IF(G17=0,0,IF(G17&lt;BondCalculator!$B$12,G17+E18,BondCalculator!$B$12))</f>
        <v>26660.740787821473</v>
      </c>
      <c r="E18" s="12">
        <f>C18*BondCalculator!$B$5/12</f>
        <v>23572.286027497848</v>
      </c>
      <c r="F18" s="12">
        <f t="shared" si="3"/>
        <v>3088.4547603236242</v>
      </c>
      <c r="G18" s="12">
        <f t="shared" si="4"/>
        <v>2456628.3481090171</v>
      </c>
      <c r="H18" s="22">
        <f t="shared" si="5"/>
        <v>0.98265133924360681</v>
      </c>
      <c r="J18" s="51">
        <f t="shared" si="6"/>
        <v>2429903.9801850654</v>
      </c>
      <c r="K18" s="51">
        <f>IF(N17=0,0,IF(N17&lt;BondCalculator!$B$12+BondCalculator!$B$7,N17+L18,BondCalculator!$B$12+BondCalculator!$B$7))</f>
        <v>28660.740787821473</v>
      </c>
      <c r="L18" s="51">
        <f>J18*BondCalculator!$B$5/12</f>
        <v>23286.579810106879</v>
      </c>
      <c r="M18" s="51">
        <f t="shared" si="7"/>
        <v>5374.1609777145932</v>
      </c>
      <c r="N18" s="51">
        <f t="shared" si="0"/>
        <v>2424529.8192073507</v>
      </c>
      <c r="P18" s="51">
        <f t="shared" si="1"/>
        <v>285.70621739096896</v>
      </c>
      <c r="Q18" s="63">
        <f>-PV(BondCalculator!$B$9/12,B18,0,1,0)</f>
        <v>0.92791687675916612</v>
      </c>
      <c r="S18" s="64">
        <f t="shared" si="2"/>
        <v>265.11162091210326</v>
      </c>
    </row>
    <row r="19" spans="1:19" ht="16.05" customHeight="1" x14ac:dyDescent="0.25">
      <c r="A19" s="61" t="s">
        <v>95</v>
      </c>
      <c r="B19" s="72">
        <v>16</v>
      </c>
      <c r="C19" s="12">
        <f t="shared" si="8"/>
        <v>2456628.3481090171</v>
      </c>
      <c r="D19" s="12">
        <f>IF(G18=0,0,IF(G18&lt;BondCalculator!$B$12,G18+E19,BondCalculator!$B$12))</f>
        <v>26660.740787821473</v>
      </c>
      <c r="E19" s="12">
        <f>C19*BondCalculator!$B$5/12</f>
        <v>23542.68833604475</v>
      </c>
      <c r="F19" s="12">
        <f t="shared" si="3"/>
        <v>3118.0524517767226</v>
      </c>
      <c r="G19" s="12">
        <f t="shared" si="4"/>
        <v>2453510.2956572403</v>
      </c>
      <c r="H19" s="22">
        <f t="shared" si="5"/>
        <v>0.98140411826289609</v>
      </c>
      <c r="J19" s="51">
        <f t="shared" si="6"/>
        <v>2424529.8192073507</v>
      </c>
      <c r="K19" s="51">
        <f>IF(N18=0,0,IF(N18&lt;BondCalculator!$B$12+BondCalculator!$B$7,N18+L19,BondCalculator!$B$12+BondCalculator!$B$7))</f>
        <v>28660.740787821473</v>
      </c>
      <c r="L19" s="51">
        <f>J19*BondCalculator!$B$5/12</f>
        <v>23235.077434070448</v>
      </c>
      <c r="M19" s="51">
        <f t="shared" si="7"/>
        <v>5425.6633537510243</v>
      </c>
      <c r="N19" s="51">
        <f t="shared" si="0"/>
        <v>2419104.1558535998</v>
      </c>
      <c r="P19" s="51">
        <f t="shared" si="1"/>
        <v>307.61090197430167</v>
      </c>
      <c r="Q19" s="63">
        <f>-PV(BondCalculator!$B$9/12,B19,0,1,0)</f>
        <v>0.92330037488474248</v>
      </c>
      <c r="S19" s="64">
        <f t="shared" si="2"/>
        <v>284.01726111150651</v>
      </c>
    </row>
    <row r="20" spans="1:19" ht="16.05" customHeight="1" x14ac:dyDescent="0.25">
      <c r="A20" s="61" t="s">
        <v>95</v>
      </c>
      <c r="B20" s="72">
        <v>17</v>
      </c>
      <c r="C20" s="12">
        <f t="shared" si="8"/>
        <v>2453510.2956572403</v>
      </c>
      <c r="D20" s="12">
        <f>IF(G19=0,0,IF(G19&lt;BondCalculator!$B$12,G19+E20,BondCalculator!$B$12))</f>
        <v>26660.740787821473</v>
      </c>
      <c r="E20" s="12">
        <f>C20*BondCalculator!$B$5/12</f>
        <v>23512.807000048557</v>
      </c>
      <c r="F20" s="12">
        <f t="shared" si="3"/>
        <v>3147.9337877729158</v>
      </c>
      <c r="G20" s="12">
        <f t="shared" si="4"/>
        <v>2450362.3618694674</v>
      </c>
      <c r="H20" s="22">
        <f t="shared" si="5"/>
        <v>0.98014494474778702</v>
      </c>
      <c r="J20" s="51">
        <f t="shared" si="6"/>
        <v>2419104.1558535998</v>
      </c>
      <c r="K20" s="51">
        <f>IF(N19=0,0,IF(N19&lt;BondCalculator!$B$12+BondCalculator!$B$7,N19+L20,BondCalculator!$B$12+BondCalculator!$B$7))</f>
        <v>28660.740787821473</v>
      </c>
      <c r="L20" s="51">
        <f>J20*BondCalculator!$B$5/12</f>
        <v>23183.081493596997</v>
      </c>
      <c r="M20" s="51">
        <f t="shared" si="7"/>
        <v>5477.6592942244752</v>
      </c>
      <c r="N20" s="51">
        <f t="shared" si="0"/>
        <v>2413626.4965593754</v>
      </c>
      <c r="P20" s="51">
        <f t="shared" si="1"/>
        <v>329.72550645155934</v>
      </c>
      <c r="Q20" s="63">
        <f>-PV(BondCalculator!$B$9/12,B20,0,1,0)</f>
        <v>0.9187068406813359</v>
      </c>
      <c r="S20" s="64">
        <f t="shared" si="2"/>
        <v>302.92107832416553</v>
      </c>
    </row>
    <row r="21" spans="1:19" ht="16.05" customHeight="1" x14ac:dyDescent="0.25">
      <c r="A21" s="61" t="s">
        <v>95</v>
      </c>
      <c r="B21" s="72">
        <v>18</v>
      </c>
      <c r="C21" s="12">
        <f t="shared" si="8"/>
        <v>2450362.3618694674</v>
      </c>
      <c r="D21" s="12">
        <f>IF(G20=0,0,IF(G20&lt;BondCalculator!$B$12,G20+E21,BondCalculator!$B$12))</f>
        <v>26660.740787821473</v>
      </c>
      <c r="E21" s="12">
        <f>C21*BondCalculator!$B$5/12</f>
        <v>23482.639301249063</v>
      </c>
      <c r="F21" s="12">
        <f t="shared" si="3"/>
        <v>3178.1014865724101</v>
      </c>
      <c r="G21" s="12">
        <f t="shared" si="4"/>
        <v>2447184.2603828949</v>
      </c>
      <c r="H21" s="22">
        <f t="shared" si="5"/>
        <v>0.978873704153158</v>
      </c>
      <c r="J21" s="51">
        <f t="shared" si="6"/>
        <v>2413626.4965593754</v>
      </c>
      <c r="K21" s="51">
        <f>IF(N20=0,0,IF(N20&lt;BondCalculator!$B$12+BondCalculator!$B$7,N20+L21,BondCalculator!$B$12+BondCalculator!$B$7))</f>
        <v>28660.740787821473</v>
      </c>
      <c r="L21" s="51">
        <f>J21*BondCalculator!$B$5/12</f>
        <v>23130.587258694013</v>
      </c>
      <c r="M21" s="51">
        <f t="shared" si="7"/>
        <v>5530.1535291274595</v>
      </c>
      <c r="N21" s="51">
        <f t="shared" si="0"/>
        <v>2408096.3430302478</v>
      </c>
      <c r="P21" s="51">
        <f t="shared" si="1"/>
        <v>352.05204255504941</v>
      </c>
      <c r="Q21" s="63">
        <f>-PV(BondCalculator!$B$9/12,B21,0,1,0)</f>
        <v>0.91413615988192654</v>
      </c>
      <c r="S21" s="64">
        <f t="shared" si="2"/>
        <v>321.82350225986147</v>
      </c>
    </row>
    <row r="22" spans="1:19" ht="16.05" customHeight="1" x14ac:dyDescent="0.25">
      <c r="A22" s="61" t="s">
        <v>95</v>
      </c>
      <c r="B22" s="72">
        <v>19</v>
      </c>
      <c r="C22" s="12">
        <f t="shared" si="8"/>
        <v>2447184.2603828949</v>
      </c>
      <c r="D22" s="12">
        <f>IF(G21=0,0,IF(G21&lt;BondCalculator!$B$12,G21+E22,BondCalculator!$B$12))</f>
        <v>26660.740787821473</v>
      </c>
      <c r="E22" s="12">
        <f>C22*BondCalculator!$B$5/12</f>
        <v>23452.182495336077</v>
      </c>
      <c r="F22" s="12">
        <f t="shared" si="3"/>
        <v>3208.5582924853952</v>
      </c>
      <c r="G22" s="12">
        <f t="shared" si="4"/>
        <v>2443975.7020904096</v>
      </c>
      <c r="H22" s="22">
        <f t="shared" si="5"/>
        <v>0.97759028083616384</v>
      </c>
      <c r="J22" s="51">
        <f t="shared" si="6"/>
        <v>2408096.3430302478</v>
      </c>
      <c r="K22" s="51">
        <f>IF(N21=0,0,IF(N21&lt;BondCalculator!$B$12+BondCalculator!$B$7,N21+L22,BondCalculator!$B$12+BondCalculator!$B$7))</f>
        <v>28660.740787821473</v>
      </c>
      <c r="L22" s="51">
        <f>J22*BondCalculator!$B$5/12</f>
        <v>23077.589954039879</v>
      </c>
      <c r="M22" s="51">
        <f t="shared" si="7"/>
        <v>5583.150833781594</v>
      </c>
      <c r="N22" s="51">
        <f t="shared" si="0"/>
        <v>2402513.192196466</v>
      </c>
      <c r="P22" s="51">
        <f t="shared" si="1"/>
        <v>374.59254129619876</v>
      </c>
      <c r="Q22" s="63">
        <f>-PV(BondCalculator!$B$9/12,B22,0,1,0)</f>
        <v>0.90958821878798668</v>
      </c>
      <c r="S22" s="64">
        <f t="shared" si="2"/>
        <v>340.72496240887477</v>
      </c>
    </row>
    <row r="23" spans="1:19" ht="16.05" customHeight="1" x14ac:dyDescent="0.25">
      <c r="A23" s="61" t="s">
        <v>95</v>
      </c>
      <c r="B23" s="72">
        <v>20</v>
      </c>
      <c r="C23" s="12">
        <f t="shared" si="8"/>
        <v>2443975.7020904096</v>
      </c>
      <c r="D23" s="12">
        <f>IF(G22=0,0,IF(G22&lt;BondCalculator!$B$12,G22+E23,BondCalculator!$B$12))</f>
        <v>26660.740787821473</v>
      </c>
      <c r="E23" s="12">
        <f>C23*BondCalculator!$B$5/12</f>
        <v>23421.433811699757</v>
      </c>
      <c r="F23" s="12">
        <f t="shared" si="3"/>
        <v>3239.3069761217157</v>
      </c>
      <c r="G23" s="12">
        <f t="shared" si="4"/>
        <v>2440736.3951142877</v>
      </c>
      <c r="H23" s="22">
        <f t="shared" si="5"/>
        <v>0.97629455804571508</v>
      </c>
      <c r="J23" s="51">
        <f t="shared" si="6"/>
        <v>2402513.192196466</v>
      </c>
      <c r="K23" s="51">
        <f>IF(N22=0,0,IF(N22&lt;BondCalculator!$B$12+BondCalculator!$B$7,N22+L23,BondCalculator!$B$12+BondCalculator!$B$7))</f>
        <v>28660.740787821473</v>
      </c>
      <c r="L23" s="51">
        <f>J23*BondCalculator!$B$5/12</f>
        <v>23024.084758549467</v>
      </c>
      <c r="M23" s="51">
        <f t="shared" si="7"/>
        <v>5636.656029272006</v>
      </c>
      <c r="N23" s="51">
        <f t="shared" si="0"/>
        <v>2396876.5361671941</v>
      </c>
      <c r="P23" s="51">
        <f t="shared" si="1"/>
        <v>397.34905315029027</v>
      </c>
      <c r="Q23" s="63">
        <f>-PV(BondCalculator!$B$9/12,B23,0,1,0)</f>
        <v>0.90506290426665348</v>
      </c>
      <c r="S23" s="64">
        <f t="shared" si="2"/>
        <v>359.62588805180656</v>
      </c>
    </row>
    <row r="24" spans="1:19" ht="16.05" customHeight="1" x14ac:dyDescent="0.25">
      <c r="A24" s="61" t="s">
        <v>95</v>
      </c>
      <c r="B24" s="72">
        <v>21</v>
      </c>
      <c r="C24" s="12">
        <f t="shared" si="8"/>
        <v>2440736.3951142877</v>
      </c>
      <c r="D24" s="12">
        <f>IF(G23=0,0,IF(G23&lt;BondCalculator!$B$12,G23+E24,BondCalculator!$B$12))</f>
        <v>26660.740787821473</v>
      </c>
      <c r="E24" s="12">
        <f>C24*BondCalculator!$B$5/12</f>
        <v>23390.390453178592</v>
      </c>
      <c r="F24" s="12">
        <f t="shared" si="3"/>
        <v>3270.3503346428806</v>
      </c>
      <c r="G24" s="12">
        <f t="shared" si="4"/>
        <v>2437466.0447796448</v>
      </c>
      <c r="H24" s="22">
        <f t="shared" si="5"/>
        <v>0.97498641791185792</v>
      </c>
      <c r="J24" s="51">
        <f t="shared" si="6"/>
        <v>2396876.5361671941</v>
      </c>
      <c r="K24" s="51">
        <f>IF(N23=0,0,IF(N23&lt;BondCalculator!$B$12+BondCalculator!$B$7,N23+L24,BondCalculator!$B$12+BondCalculator!$B$7))</f>
        <v>28660.740787821473</v>
      </c>
      <c r="L24" s="51">
        <f>J24*BondCalculator!$B$5/12</f>
        <v>22970.066804935614</v>
      </c>
      <c r="M24" s="51">
        <f t="shared" si="7"/>
        <v>5690.673982885859</v>
      </c>
      <c r="N24" s="51">
        <f t="shared" si="0"/>
        <v>2391185.8621843085</v>
      </c>
      <c r="P24" s="51">
        <f t="shared" si="1"/>
        <v>420.32364824297838</v>
      </c>
      <c r="Q24" s="63">
        <f>-PV(BondCalculator!$B$9/12,B24,0,1,0)</f>
        <v>0.90056010374791418</v>
      </c>
      <c r="S24" s="64">
        <f t="shared" si="2"/>
        <v>378.5267082693984</v>
      </c>
    </row>
    <row r="25" spans="1:19" ht="16.05" customHeight="1" x14ac:dyDescent="0.25">
      <c r="A25" s="61" t="s">
        <v>95</v>
      </c>
      <c r="B25" s="72">
        <v>22</v>
      </c>
      <c r="C25" s="12">
        <f t="shared" si="8"/>
        <v>2437466.0447796448</v>
      </c>
      <c r="D25" s="12">
        <f>IF(G24=0,0,IF(G24&lt;BondCalculator!$B$12,G24+E25,BondCalculator!$B$12))</f>
        <v>26660.740787821473</v>
      </c>
      <c r="E25" s="12">
        <f>C25*BondCalculator!$B$5/12</f>
        <v>23359.049595804929</v>
      </c>
      <c r="F25" s="12">
        <f t="shared" si="3"/>
        <v>3301.6911920165439</v>
      </c>
      <c r="G25" s="12">
        <f t="shared" si="4"/>
        <v>2434164.3535876283</v>
      </c>
      <c r="H25" s="22">
        <f t="shared" si="5"/>
        <v>0.97366574143505136</v>
      </c>
      <c r="J25" s="51">
        <f t="shared" si="6"/>
        <v>2391185.8621843085</v>
      </c>
      <c r="K25" s="51">
        <f>IF(N24=0,0,IF(N24&lt;BondCalculator!$B$12+BondCalculator!$B$7,N24+L25,BondCalculator!$B$12+BondCalculator!$B$7))</f>
        <v>28660.740787821473</v>
      </c>
      <c r="L25" s="51">
        <f>J25*BondCalculator!$B$5/12</f>
        <v>22915.531179266287</v>
      </c>
      <c r="M25" s="51">
        <f t="shared" si="7"/>
        <v>5745.2096085551857</v>
      </c>
      <c r="N25" s="51">
        <f t="shared" si="0"/>
        <v>2385440.6525757532</v>
      </c>
      <c r="P25" s="51">
        <f t="shared" si="1"/>
        <v>443.51841653864176</v>
      </c>
      <c r="Q25" s="63">
        <f>-PV(BondCalculator!$B$9/12,B25,0,1,0)</f>
        <v>0.89607970522180524</v>
      </c>
      <c r="S25" s="64">
        <f t="shared" si="2"/>
        <v>397.42785195238793</v>
      </c>
    </row>
    <row r="26" spans="1:19" ht="16.05" customHeight="1" x14ac:dyDescent="0.25">
      <c r="A26" s="61" t="s">
        <v>95</v>
      </c>
      <c r="B26" s="72">
        <v>23</v>
      </c>
      <c r="C26" s="12">
        <f t="shared" si="8"/>
        <v>2434164.3535876283</v>
      </c>
      <c r="D26" s="12">
        <f>IF(G25=0,0,IF(G25&lt;BondCalculator!$B$12,G25+E26,BondCalculator!$B$12))</f>
        <v>26660.740787821473</v>
      </c>
      <c r="E26" s="12">
        <f>C26*BondCalculator!$B$5/12</f>
        <v>23327.408388548105</v>
      </c>
      <c r="F26" s="12">
        <f t="shared" si="3"/>
        <v>3333.3323992733676</v>
      </c>
      <c r="G26" s="12">
        <f t="shared" si="4"/>
        <v>2430831.0211883551</v>
      </c>
      <c r="H26" s="22">
        <f t="shared" si="5"/>
        <v>0.97233240847534197</v>
      </c>
      <c r="J26" s="51">
        <f t="shared" si="6"/>
        <v>2385440.6525757532</v>
      </c>
      <c r="K26" s="51">
        <f>IF(N25=0,0,IF(N25&lt;BondCalculator!$B$12+BondCalculator!$B$7,N25+L26,BondCalculator!$B$12+BondCalculator!$B$7))</f>
        <v>28660.740787821473</v>
      </c>
      <c r="L26" s="51">
        <f>J26*BondCalculator!$B$5/12</f>
        <v>22860.472920517637</v>
      </c>
      <c r="M26" s="51">
        <f t="shared" si="7"/>
        <v>5800.2678673038354</v>
      </c>
      <c r="N26" s="51">
        <f t="shared" si="0"/>
        <v>2379640.3847084492</v>
      </c>
      <c r="P26" s="51">
        <f t="shared" si="1"/>
        <v>466.93546803046775</v>
      </c>
      <c r="Q26" s="63">
        <f>-PV(BondCalculator!$B$9/12,B26,0,1,0)</f>
        <v>0.89162159723562728</v>
      </c>
      <c r="S26" s="64">
        <f t="shared" si="2"/>
        <v>416.32974781129082</v>
      </c>
    </row>
    <row r="27" spans="1:19" ht="16.05" customHeight="1" x14ac:dyDescent="0.25">
      <c r="A27" s="61" t="s">
        <v>95</v>
      </c>
      <c r="B27" s="72">
        <v>24</v>
      </c>
      <c r="C27" s="12">
        <f t="shared" si="8"/>
        <v>2430831.0211883551</v>
      </c>
      <c r="D27" s="12">
        <f>IF(G26=0,0,IF(G26&lt;BondCalculator!$B$12,G26+E27,BondCalculator!$B$12))</f>
        <v>26660.740787821473</v>
      </c>
      <c r="E27" s="12">
        <f>C27*BondCalculator!$B$5/12</f>
        <v>23295.463953055067</v>
      </c>
      <c r="F27" s="12">
        <f t="shared" si="3"/>
        <v>3365.276834766406</v>
      </c>
      <c r="G27" s="12">
        <f t="shared" si="4"/>
        <v>2427465.7443535887</v>
      </c>
      <c r="H27" s="22">
        <f t="shared" si="5"/>
        <v>0.97098629774143552</v>
      </c>
      <c r="J27" s="51">
        <f t="shared" si="6"/>
        <v>2379640.3847084492</v>
      </c>
      <c r="K27" s="51">
        <f>IF(N26=0,0,IF(N26&lt;BondCalculator!$B$12+BondCalculator!$B$7,N26+L27,BondCalculator!$B$12+BondCalculator!$B$7))</f>
        <v>28660.740787821473</v>
      </c>
      <c r="L27" s="51">
        <f>J27*BondCalculator!$B$5/12</f>
        <v>22804.887020122638</v>
      </c>
      <c r="M27" s="51">
        <f t="shared" si="7"/>
        <v>5855.8537676988344</v>
      </c>
      <c r="N27" s="51">
        <f t="shared" si="0"/>
        <v>2373784.5309407506</v>
      </c>
      <c r="P27" s="51">
        <f t="shared" si="1"/>
        <v>490.57693293242846</v>
      </c>
      <c r="Q27" s="63">
        <f>-PV(BondCalculator!$B$9/12,B27,0,1,0)</f>
        <v>0.88718566889117134</v>
      </c>
      <c r="S27" s="64">
        <f t="shared" si="2"/>
        <v>435.23282438623585</v>
      </c>
    </row>
    <row r="28" spans="1:19" ht="16.05" customHeight="1" x14ac:dyDescent="0.25">
      <c r="A28" s="61" t="s">
        <v>96</v>
      </c>
      <c r="B28" s="72">
        <v>25</v>
      </c>
      <c r="C28" s="12">
        <f t="shared" si="8"/>
        <v>2427465.7443535887</v>
      </c>
      <c r="D28" s="12">
        <f>IF(G27=0,0,IF(G27&lt;BondCalculator!$B$12,G27+E28,BondCalculator!$B$12))</f>
        <v>26660.740787821473</v>
      </c>
      <c r="E28" s="12">
        <f>C28*BondCalculator!$B$5/12</f>
        <v>23263.21338338856</v>
      </c>
      <c r="F28" s="12">
        <f t="shared" si="3"/>
        <v>3397.5274044329126</v>
      </c>
      <c r="G28" s="12">
        <f t="shared" si="4"/>
        <v>2424068.2169491556</v>
      </c>
      <c r="H28" s="22">
        <f t="shared" si="5"/>
        <v>0.96962728677966226</v>
      </c>
      <c r="J28" s="51">
        <f t="shared" si="6"/>
        <v>2373784.5309407506</v>
      </c>
      <c r="K28" s="51">
        <f>IF(N27=0,0,IF(N27&lt;BondCalculator!$B$12+BondCalculator!$B$7,N27+L28,BondCalculator!$B$12+BondCalculator!$B$7))</f>
        <v>28660.740787821473</v>
      </c>
      <c r="L28" s="51">
        <f>J28*BondCalculator!$B$5/12</f>
        <v>22748.768421515528</v>
      </c>
      <c r="M28" s="51">
        <f t="shared" si="7"/>
        <v>5911.9723663059449</v>
      </c>
      <c r="N28" s="51">
        <f t="shared" si="0"/>
        <v>2367872.5585744446</v>
      </c>
      <c r="P28" s="51">
        <f t="shared" si="1"/>
        <v>514.4449618730323</v>
      </c>
      <c r="Q28" s="63">
        <f>-PV(BondCalculator!$B$9/12,B28,0,1,0)</f>
        <v>0.8827718098419618</v>
      </c>
      <c r="S28" s="64">
        <f t="shared" si="2"/>
        <v>454.13751005673578</v>
      </c>
    </row>
    <row r="29" spans="1:19" ht="16.05" customHeight="1" x14ac:dyDescent="0.25">
      <c r="A29" s="61" t="s">
        <v>96</v>
      </c>
      <c r="B29" s="72">
        <v>26</v>
      </c>
      <c r="C29" s="12">
        <f t="shared" si="8"/>
        <v>2424068.2169491556</v>
      </c>
      <c r="D29" s="12">
        <f>IF(G28=0,0,IF(G28&lt;BondCalculator!$B$12,G28+E29,BondCalculator!$B$12))</f>
        <v>26660.740787821473</v>
      </c>
      <c r="E29" s="12">
        <f>C29*BondCalculator!$B$5/12</f>
        <v>23230.653745762742</v>
      </c>
      <c r="F29" s="12">
        <f t="shared" si="3"/>
        <v>3430.0870420587307</v>
      </c>
      <c r="G29" s="12">
        <f t="shared" si="4"/>
        <v>2420638.1299070967</v>
      </c>
      <c r="H29" s="22">
        <f t="shared" si="5"/>
        <v>0.96825525196283868</v>
      </c>
      <c r="J29" s="51">
        <f t="shared" si="6"/>
        <v>2367872.5585744446</v>
      </c>
      <c r="K29" s="51">
        <f>IF(N28=0,0,IF(N28&lt;BondCalculator!$B$12+BondCalculator!$B$7,N28+L29,BondCalculator!$B$12+BondCalculator!$B$7))</f>
        <v>28660.740787821473</v>
      </c>
      <c r="L29" s="51">
        <f>J29*BondCalculator!$B$5/12</f>
        <v>22692.112019671764</v>
      </c>
      <c r="M29" s="51">
        <f t="shared" si="7"/>
        <v>5968.6287681497088</v>
      </c>
      <c r="N29" s="51">
        <f t="shared" si="0"/>
        <v>2361903.9298062949</v>
      </c>
      <c r="P29" s="51">
        <f t="shared" si="1"/>
        <v>538.54172609097805</v>
      </c>
      <c r="Q29" s="63">
        <f>-PV(BondCalculator!$B$9/12,B29,0,1,0)</f>
        <v>0.87837991029050932</v>
      </c>
      <c r="S29" s="64">
        <f t="shared" si="2"/>
        <v>473.04423305148936</v>
      </c>
    </row>
    <row r="30" spans="1:19" ht="16.05" customHeight="1" x14ac:dyDescent="0.25">
      <c r="A30" s="61" t="s">
        <v>96</v>
      </c>
      <c r="B30" s="72">
        <v>27</v>
      </c>
      <c r="C30" s="12">
        <f t="shared" si="8"/>
        <v>2420638.1299070967</v>
      </c>
      <c r="D30" s="12">
        <f>IF(G29=0,0,IF(G29&lt;BondCalculator!$B$12,G29+E30,BondCalculator!$B$12))</f>
        <v>26660.740787821473</v>
      </c>
      <c r="E30" s="12">
        <f>C30*BondCalculator!$B$5/12</f>
        <v>23197.782078276345</v>
      </c>
      <c r="F30" s="12">
        <f t="shared" si="3"/>
        <v>3462.9587095451279</v>
      </c>
      <c r="G30" s="12">
        <f t="shared" si="4"/>
        <v>2417175.1711975518</v>
      </c>
      <c r="H30" s="22">
        <f t="shared" si="5"/>
        <v>0.96687006847902068</v>
      </c>
      <c r="J30" s="51">
        <f t="shared" si="6"/>
        <v>2361903.9298062949</v>
      </c>
      <c r="K30" s="51">
        <f>IF(N29=0,0,IF(N29&lt;BondCalculator!$B$12+BondCalculator!$B$7,N29+L30,BondCalculator!$B$12+BondCalculator!$B$7))</f>
        <v>28660.740787821473</v>
      </c>
      <c r="L30" s="51">
        <f>J30*BondCalculator!$B$5/12</f>
        <v>22634.912660643662</v>
      </c>
      <c r="M30" s="51">
        <f t="shared" si="7"/>
        <v>6025.8281271778105</v>
      </c>
      <c r="N30" s="51">
        <f t="shared" si="0"/>
        <v>2355878.101679117</v>
      </c>
      <c r="P30" s="51">
        <f t="shared" si="1"/>
        <v>562.8694176326826</v>
      </c>
      <c r="Q30" s="63">
        <f>-PV(BondCalculator!$B$9/12,B30,0,1,0)</f>
        <v>0.87400986098558153</v>
      </c>
      <c r="S30" s="64">
        <f t="shared" si="2"/>
        <v>491.95342145817614</v>
      </c>
    </row>
    <row r="31" spans="1:19" ht="16.05" customHeight="1" x14ac:dyDescent="0.25">
      <c r="A31" s="61" t="s">
        <v>96</v>
      </c>
      <c r="B31" s="72">
        <v>28</v>
      </c>
      <c r="C31" s="12">
        <f t="shared" si="8"/>
        <v>2417175.1711975518</v>
      </c>
      <c r="D31" s="12">
        <f>IF(G30=0,0,IF(G30&lt;BondCalculator!$B$12,G30+E31,BondCalculator!$B$12))</f>
        <v>26660.740787821473</v>
      </c>
      <c r="E31" s="12">
        <f>C31*BondCalculator!$B$5/12</f>
        <v>23164.595390643208</v>
      </c>
      <c r="F31" s="12">
        <f t="shared" si="3"/>
        <v>3496.1453971782648</v>
      </c>
      <c r="G31" s="12">
        <f t="shared" si="4"/>
        <v>2413679.0258003734</v>
      </c>
      <c r="H31" s="22">
        <f t="shared" si="5"/>
        <v>0.96547161032014939</v>
      </c>
      <c r="J31" s="51">
        <f t="shared" si="6"/>
        <v>2355878.101679117</v>
      </c>
      <c r="K31" s="51">
        <f>IF(N30=0,0,IF(N30&lt;BondCalculator!$B$12+BondCalculator!$B$7,N30+L31,BondCalculator!$B$12+BondCalculator!$B$7))</f>
        <v>28660.740787821473</v>
      </c>
      <c r="L31" s="51">
        <f>J31*BondCalculator!$B$5/12</f>
        <v>22577.165141091536</v>
      </c>
      <c r="M31" s="51">
        <f t="shared" si="7"/>
        <v>6083.5756467299361</v>
      </c>
      <c r="N31" s="51">
        <f t="shared" si="0"/>
        <v>2349794.5260323868</v>
      </c>
      <c r="P31" s="51">
        <f t="shared" si="1"/>
        <v>587.4302495516713</v>
      </c>
      <c r="Q31" s="63">
        <f>-PV(BondCalculator!$B$9/12,B31,0,1,0)</f>
        <v>0.86966155321948435</v>
      </c>
      <c r="S31" s="64">
        <f t="shared" si="2"/>
        <v>510.86550323321575</v>
      </c>
    </row>
    <row r="32" spans="1:19" ht="16.05" customHeight="1" x14ac:dyDescent="0.25">
      <c r="A32" s="61" t="s">
        <v>96</v>
      </c>
      <c r="B32" s="72">
        <v>29</v>
      </c>
      <c r="C32" s="12">
        <f t="shared" si="8"/>
        <v>2413679.0258003734</v>
      </c>
      <c r="D32" s="12">
        <f>IF(G31=0,0,IF(G31&lt;BondCalculator!$B$12,G31+E32,BondCalculator!$B$12))</f>
        <v>26660.740787821473</v>
      </c>
      <c r="E32" s="12">
        <f>C32*BondCalculator!$B$5/12</f>
        <v>23131.090663920244</v>
      </c>
      <c r="F32" s="12">
        <f t="shared" si="3"/>
        <v>3529.6501239012287</v>
      </c>
      <c r="G32" s="12">
        <f t="shared" si="4"/>
        <v>2410149.3756764722</v>
      </c>
      <c r="H32" s="22">
        <f t="shared" si="5"/>
        <v>0.96405975027058888</v>
      </c>
      <c r="J32" s="51">
        <f t="shared" si="6"/>
        <v>2349794.5260323868</v>
      </c>
      <c r="K32" s="51">
        <f>IF(N31=0,0,IF(N31&lt;BondCalculator!$B$12+BondCalculator!$B$7,N31+L32,BondCalculator!$B$12+BondCalculator!$B$7))</f>
        <v>28660.740787821473</v>
      </c>
      <c r="L32" s="51">
        <f>J32*BondCalculator!$B$5/12</f>
        <v>22518.864207810373</v>
      </c>
      <c r="M32" s="51">
        <f t="shared" si="7"/>
        <v>6141.8765800110996</v>
      </c>
      <c r="N32" s="51">
        <f t="shared" si="0"/>
        <v>2343652.6494523757</v>
      </c>
      <c r="P32" s="51">
        <f t="shared" si="1"/>
        <v>612.22645610987092</v>
      </c>
      <c r="Q32" s="63">
        <f>-PV(BondCalculator!$B$9/12,B32,0,1,0)</f>
        <v>0.86533487882535765</v>
      </c>
      <c r="S32" s="64">
        <f t="shared" si="2"/>
        <v>529.7809062115133</v>
      </c>
    </row>
    <row r="33" spans="1:19" ht="16.05" customHeight="1" x14ac:dyDescent="0.25">
      <c r="A33" s="61" t="s">
        <v>96</v>
      </c>
      <c r="B33" s="72">
        <v>30</v>
      </c>
      <c r="C33" s="12">
        <f t="shared" si="8"/>
        <v>2410149.3756764722</v>
      </c>
      <c r="D33" s="12">
        <f>IF(G32=0,0,IF(G32&lt;BondCalculator!$B$12,G32+E33,BondCalculator!$B$12))</f>
        <v>26660.740787821473</v>
      </c>
      <c r="E33" s="12">
        <f>C33*BondCalculator!$B$5/12</f>
        <v>23097.264850232863</v>
      </c>
      <c r="F33" s="12">
        <f t="shared" si="3"/>
        <v>3563.4759375886097</v>
      </c>
      <c r="G33" s="12">
        <f t="shared" si="4"/>
        <v>2406585.8997388836</v>
      </c>
      <c r="H33" s="22">
        <f t="shared" si="5"/>
        <v>0.96263435989555346</v>
      </c>
      <c r="J33" s="51">
        <f t="shared" si="6"/>
        <v>2343652.6494523757</v>
      </c>
      <c r="K33" s="51">
        <f>IF(N32=0,0,IF(N32&lt;BondCalculator!$B$12+BondCalculator!$B$7,N32+L33,BondCalculator!$B$12+BondCalculator!$B$7))</f>
        <v>28660.740787821473</v>
      </c>
      <c r="L33" s="51">
        <f>J33*BondCalculator!$B$5/12</f>
        <v>22460.004557251934</v>
      </c>
      <c r="M33" s="51">
        <f t="shared" si="7"/>
        <v>6200.7362305695387</v>
      </c>
      <c r="N33" s="51">
        <f t="shared" si="0"/>
        <v>2337451.9132218063</v>
      </c>
      <c r="P33" s="51">
        <f t="shared" si="1"/>
        <v>637.26029298092908</v>
      </c>
      <c r="Q33" s="63">
        <f>-PV(BondCalculator!$B$9/12,B33,0,1,0)</f>
        <v>0.86102973017448536</v>
      </c>
      <c r="S33" s="64">
        <f t="shared" si="2"/>
        <v>548.70005811628289</v>
      </c>
    </row>
    <row r="34" spans="1:19" ht="16.05" customHeight="1" x14ac:dyDescent="0.25">
      <c r="A34" s="61" t="s">
        <v>96</v>
      </c>
      <c r="B34" s="72">
        <v>31</v>
      </c>
      <c r="C34" s="12">
        <f t="shared" si="8"/>
        <v>2406585.8997388836</v>
      </c>
      <c r="D34" s="12">
        <f>IF(G33=0,0,IF(G33&lt;BondCalculator!$B$12,G33+E34,BondCalculator!$B$12))</f>
        <v>26660.740787821473</v>
      </c>
      <c r="E34" s="12">
        <f>C34*BondCalculator!$B$5/12</f>
        <v>23063.114872497637</v>
      </c>
      <c r="F34" s="12">
        <f t="shared" si="3"/>
        <v>3597.6259153238352</v>
      </c>
      <c r="G34" s="12">
        <f t="shared" si="4"/>
        <v>2402988.2738235597</v>
      </c>
      <c r="H34" s="22">
        <f t="shared" si="5"/>
        <v>0.96119530952942389</v>
      </c>
      <c r="J34" s="51">
        <f t="shared" si="6"/>
        <v>2337451.9132218063</v>
      </c>
      <c r="K34" s="51">
        <f>IF(N33=0,0,IF(N33&lt;BondCalculator!$B$12+BondCalculator!$B$7,N33+L34,BondCalculator!$B$12+BondCalculator!$B$7))</f>
        <v>28660.740787821473</v>
      </c>
      <c r="L34" s="51">
        <f>J34*BondCalculator!$B$5/12</f>
        <v>22400.580835042314</v>
      </c>
      <c r="M34" s="51">
        <f t="shared" si="7"/>
        <v>6260.1599527791586</v>
      </c>
      <c r="N34" s="51">
        <f t="shared" si="0"/>
        <v>2331191.753269027</v>
      </c>
      <c r="P34" s="51">
        <f t="shared" si="1"/>
        <v>662.53403745532341</v>
      </c>
      <c r="Q34" s="63">
        <f>-PV(BondCalculator!$B$9/12,B34,0,1,0)</f>
        <v>0.85674600017361746</v>
      </c>
      <c r="S34" s="64">
        <f t="shared" si="2"/>
        <v>567.623386568726</v>
      </c>
    </row>
    <row r="35" spans="1:19" ht="16.05" customHeight="1" x14ac:dyDescent="0.25">
      <c r="A35" s="61" t="s">
        <v>96</v>
      </c>
      <c r="B35" s="72">
        <v>32</v>
      </c>
      <c r="C35" s="12">
        <f t="shared" si="8"/>
        <v>2402988.2738235597</v>
      </c>
      <c r="D35" s="12">
        <f>IF(G34=0,0,IF(G34&lt;BondCalculator!$B$12,G34+E35,BondCalculator!$B$12))</f>
        <v>26660.740787821473</v>
      </c>
      <c r="E35" s="12">
        <f>C35*BondCalculator!$B$5/12</f>
        <v>23028.637624142448</v>
      </c>
      <c r="F35" s="12">
        <f t="shared" si="3"/>
        <v>3632.1031636790249</v>
      </c>
      <c r="G35" s="12">
        <f t="shared" si="4"/>
        <v>2399356.1706598806</v>
      </c>
      <c r="H35" s="22">
        <f t="shared" si="5"/>
        <v>0.95974246826395226</v>
      </c>
      <c r="J35" s="51">
        <f t="shared" si="6"/>
        <v>2331191.753269027</v>
      </c>
      <c r="K35" s="51">
        <f>IF(N34=0,0,IF(N34&lt;BondCalculator!$B$12+BondCalculator!$B$7,N34+L35,BondCalculator!$B$12+BondCalculator!$B$7))</f>
        <v>28660.740787821473</v>
      </c>
      <c r="L35" s="51">
        <f>J35*BondCalculator!$B$5/12</f>
        <v>22340.587635494841</v>
      </c>
      <c r="M35" s="51">
        <f t="shared" si="7"/>
        <v>6320.1531523266312</v>
      </c>
      <c r="N35" s="51">
        <f t="shared" si="0"/>
        <v>2324871.6001167004</v>
      </c>
      <c r="P35" s="51">
        <f t="shared" si="1"/>
        <v>688.04998864760637</v>
      </c>
      <c r="Q35" s="63">
        <f>-PV(BondCalculator!$B$9/12,B35,0,1,0)</f>
        <v>0.85248358226230603</v>
      </c>
      <c r="S35" s="64">
        <f t="shared" si="2"/>
        <v>586.55131909785052</v>
      </c>
    </row>
    <row r="36" spans="1:19" ht="16.05" customHeight="1" x14ac:dyDescent="0.25">
      <c r="A36" s="61" t="s">
        <v>96</v>
      </c>
      <c r="B36" s="72">
        <v>33</v>
      </c>
      <c r="C36" s="12">
        <f t="shared" si="8"/>
        <v>2399356.1706598806</v>
      </c>
      <c r="D36" s="12">
        <f>IF(G35=0,0,IF(G35&lt;BondCalculator!$B$12,G35+E36,BondCalculator!$B$12))</f>
        <v>26660.740787821473</v>
      </c>
      <c r="E36" s="12">
        <f>C36*BondCalculator!$B$5/12</f>
        <v>22993.829968823859</v>
      </c>
      <c r="F36" s="12">
        <f t="shared" si="3"/>
        <v>3666.9108189976141</v>
      </c>
      <c r="G36" s="12">
        <f t="shared" si="4"/>
        <v>2395689.2598408828</v>
      </c>
      <c r="H36" s="22">
        <f t="shared" si="5"/>
        <v>0.95827570393635308</v>
      </c>
      <c r="J36" s="51">
        <f t="shared" si="6"/>
        <v>2324871.6001167004</v>
      </c>
      <c r="K36" s="51">
        <f>IF(N35=0,0,IF(N35&lt;BondCalculator!$B$12+BondCalculator!$B$7,N35+L36,BondCalculator!$B$12+BondCalculator!$B$7))</f>
        <v>28660.740787821473</v>
      </c>
      <c r="L36" s="51">
        <f>J36*BondCalculator!$B$5/12</f>
        <v>22280.019501118379</v>
      </c>
      <c r="M36" s="51">
        <f t="shared" si="7"/>
        <v>6380.7212867030939</v>
      </c>
      <c r="N36" s="51">
        <f t="shared" si="0"/>
        <v>2318490.8788299975</v>
      </c>
      <c r="P36" s="51">
        <f t="shared" si="1"/>
        <v>713.81046770547982</v>
      </c>
      <c r="Q36" s="63">
        <f>-PV(BondCalculator!$B$9/12,B36,0,1,0)</f>
        <v>0.84824237041025496</v>
      </c>
      <c r="S36" s="64">
        <f t="shared" si="2"/>
        <v>605.48428315014894</v>
      </c>
    </row>
    <row r="37" spans="1:19" ht="16.05" customHeight="1" x14ac:dyDescent="0.25">
      <c r="A37" s="61" t="s">
        <v>96</v>
      </c>
      <c r="B37" s="72">
        <v>34</v>
      </c>
      <c r="C37" s="12">
        <f t="shared" si="8"/>
        <v>2395689.2598408828</v>
      </c>
      <c r="D37" s="12">
        <f>IF(G36=0,0,IF(G36&lt;BondCalculator!$B$12,G36+E37,BondCalculator!$B$12))</f>
        <v>26660.740787821473</v>
      </c>
      <c r="E37" s="12">
        <f>C37*BondCalculator!$B$5/12</f>
        <v>22958.688740141795</v>
      </c>
      <c r="F37" s="12">
        <f t="shared" si="3"/>
        <v>3702.0520476796773</v>
      </c>
      <c r="G37" s="12">
        <f t="shared" si="4"/>
        <v>2391987.2077932032</v>
      </c>
      <c r="H37" s="22">
        <f t="shared" si="5"/>
        <v>0.95679488311728123</v>
      </c>
      <c r="J37" s="51">
        <f t="shared" si="6"/>
        <v>2318490.8788299975</v>
      </c>
      <c r="K37" s="51">
        <f>IF(N36=0,0,IF(N36&lt;BondCalculator!$B$12+BondCalculator!$B$7,N36+L37,BondCalculator!$B$12+BondCalculator!$B$7))</f>
        <v>28660.740787821473</v>
      </c>
      <c r="L37" s="51">
        <f>J37*BondCalculator!$B$5/12</f>
        <v>22218.870922120812</v>
      </c>
      <c r="M37" s="51">
        <f t="shared" si="7"/>
        <v>6441.8698657006607</v>
      </c>
      <c r="N37" s="51">
        <f t="shared" si="0"/>
        <v>2312049.0089642969</v>
      </c>
      <c r="P37" s="51">
        <f t="shared" si="1"/>
        <v>739.8178180209834</v>
      </c>
      <c r="Q37" s="63">
        <f>-PV(BondCalculator!$B$9/12,B37,0,1,0)</f>
        <v>0.84402225911468165</v>
      </c>
      <c r="S37" s="64">
        <f t="shared" si="2"/>
        <v>624.42270609936486</v>
      </c>
    </row>
    <row r="38" spans="1:19" ht="16.05" customHeight="1" x14ac:dyDescent="0.25">
      <c r="A38" s="61" t="s">
        <v>96</v>
      </c>
      <c r="B38" s="72">
        <v>35</v>
      </c>
      <c r="C38" s="12">
        <f t="shared" si="8"/>
        <v>2391987.2077932032</v>
      </c>
      <c r="D38" s="12">
        <f>IF(G37=0,0,IF(G37&lt;BondCalculator!$B$12,G37+E38,BondCalculator!$B$12))</f>
        <v>26660.740787821473</v>
      </c>
      <c r="E38" s="12">
        <f>C38*BondCalculator!$B$5/12</f>
        <v>22923.210741351533</v>
      </c>
      <c r="F38" s="12">
        <f t="shared" si="3"/>
        <v>3737.5300464699394</v>
      </c>
      <c r="G38" s="12">
        <f t="shared" si="4"/>
        <v>2388249.6777467332</v>
      </c>
      <c r="H38" s="22">
        <f t="shared" si="5"/>
        <v>0.9552998710986933</v>
      </c>
      <c r="J38" s="51">
        <f t="shared" si="6"/>
        <v>2312049.0089642969</v>
      </c>
      <c r="K38" s="51">
        <f>IF(N37=0,0,IF(N37&lt;BondCalculator!$B$12+BondCalculator!$B$7,N37+L38,BondCalculator!$B$12+BondCalculator!$B$7))</f>
        <v>28660.740787821473</v>
      </c>
      <c r="L38" s="51">
        <f>J38*BondCalculator!$B$5/12</f>
        <v>22157.13633590785</v>
      </c>
      <c r="M38" s="51">
        <f t="shared" si="7"/>
        <v>6503.6044519136231</v>
      </c>
      <c r="N38" s="51">
        <f t="shared" si="0"/>
        <v>2305545.404512383</v>
      </c>
      <c r="P38" s="51">
        <f t="shared" si="1"/>
        <v>766.07440544368364</v>
      </c>
      <c r="Q38" s="63">
        <f>-PV(BondCalculator!$B$9/12,B38,0,1,0)</f>
        <v>0.83982314339769315</v>
      </c>
      <c r="S38" s="64">
        <f t="shared" si="2"/>
        <v>643.36701525623323</v>
      </c>
    </row>
    <row r="39" spans="1:19" ht="16.05" customHeight="1" x14ac:dyDescent="0.25">
      <c r="A39" s="61" t="s">
        <v>96</v>
      </c>
      <c r="B39" s="72">
        <v>36</v>
      </c>
      <c r="C39" s="12">
        <f t="shared" si="8"/>
        <v>2388249.6777467332</v>
      </c>
      <c r="D39" s="12">
        <f>IF(G38=0,0,IF(G38&lt;BondCalculator!$B$12,G38+E39,BondCalculator!$B$12))</f>
        <v>26660.740787821473</v>
      </c>
      <c r="E39" s="12">
        <f>C39*BondCalculator!$B$5/12</f>
        <v>22887.392745072862</v>
      </c>
      <c r="F39" s="12">
        <f t="shared" si="3"/>
        <v>3773.3480427486102</v>
      </c>
      <c r="G39" s="12">
        <f t="shared" si="4"/>
        <v>2384476.3297039848</v>
      </c>
      <c r="H39" s="22">
        <f t="shared" si="5"/>
        <v>0.95379053188159391</v>
      </c>
      <c r="J39" s="51">
        <f t="shared" si="6"/>
        <v>2305545.404512383</v>
      </c>
      <c r="K39" s="51">
        <f>IF(N38=0,0,IF(N38&lt;BondCalculator!$B$12+BondCalculator!$B$7,N38+L39,BondCalculator!$B$12+BondCalculator!$B$7))</f>
        <v>28660.740787821473</v>
      </c>
      <c r="L39" s="51">
        <f>J39*BondCalculator!$B$5/12</f>
        <v>22094.810126577006</v>
      </c>
      <c r="M39" s="51">
        <f t="shared" si="7"/>
        <v>6565.930661244467</v>
      </c>
      <c r="N39" s="51">
        <f t="shared" si="0"/>
        <v>2298979.4738511387</v>
      </c>
      <c r="P39" s="51">
        <f t="shared" si="1"/>
        <v>792.58261849585688</v>
      </c>
      <c r="Q39" s="63">
        <f>-PV(BondCalculator!$B$9/12,B39,0,1,0)</f>
        <v>0.83564491880367509</v>
      </c>
      <c r="S39" s="64">
        <f t="shared" si="2"/>
        <v>662.31763787817454</v>
      </c>
    </row>
    <row r="40" spans="1:19" ht="16.05" customHeight="1" x14ac:dyDescent="0.25">
      <c r="A40" s="61" t="s">
        <v>97</v>
      </c>
      <c r="B40" s="72">
        <v>37</v>
      </c>
      <c r="C40" s="12">
        <f t="shared" si="8"/>
        <v>2384476.3297039848</v>
      </c>
      <c r="D40" s="12">
        <f>IF(G39=0,0,IF(G39&lt;BondCalculator!$B$12,G39+E40,BondCalculator!$B$12))</f>
        <v>26660.740787821473</v>
      </c>
      <c r="E40" s="12">
        <f>C40*BondCalculator!$B$5/12</f>
        <v>22851.231492996521</v>
      </c>
      <c r="F40" s="12">
        <f t="shared" si="3"/>
        <v>3809.5092948249512</v>
      </c>
      <c r="G40" s="12">
        <f t="shared" si="4"/>
        <v>2380666.8204091596</v>
      </c>
      <c r="H40" s="22">
        <f t="shared" si="5"/>
        <v>0.95226672816366387</v>
      </c>
      <c r="J40" s="51">
        <f t="shared" si="6"/>
        <v>2298979.4738511387</v>
      </c>
      <c r="K40" s="51">
        <f>IF(N39=0,0,IF(N39&lt;BondCalculator!$B$12+BondCalculator!$B$7,N39+L40,BondCalculator!$B$12+BondCalculator!$B$7))</f>
        <v>28660.740787821473</v>
      </c>
      <c r="L40" s="51">
        <f>J40*BondCalculator!$B$5/12</f>
        <v>22031.886624406747</v>
      </c>
      <c r="M40" s="51">
        <f t="shared" si="7"/>
        <v>6628.8541634147259</v>
      </c>
      <c r="N40" s="51">
        <f t="shared" si="0"/>
        <v>2292350.6196877239</v>
      </c>
      <c r="P40" s="51">
        <f t="shared" si="1"/>
        <v>819.34486858977471</v>
      </c>
      <c r="Q40" s="63">
        <f>-PV(BondCalculator!$B$9/12,B40,0,1,0)</f>
        <v>0.83148748139669182</v>
      </c>
      <c r="S40" s="64">
        <f t="shared" si="2"/>
        <v>681.27500117901525</v>
      </c>
    </row>
    <row r="41" spans="1:19" ht="16.05" customHeight="1" x14ac:dyDescent="0.25">
      <c r="A41" s="61" t="s">
        <v>97</v>
      </c>
      <c r="B41" s="72">
        <v>38</v>
      </c>
      <c r="C41" s="12">
        <f t="shared" si="8"/>
        <v>2380666.8204091596</v>
      </c>
      <c r="D41" s="12">
        <f>IF(G40=0,0,IF(G40&lt;BondCalculator!$B$12,G40+E41,BondCalculator!$B$12))</f>
        <v>26660.740787821473</v>
      </c>
      <c r="E41" s="12">
        <f>C41*BondCalculator!$B$5/12</f>
        <v>22814.723695587778</v>
      </c>
      <c r="F41" s="12">
        <f t="shared" si="3"/>
        <v>3846.0170922336947</v>
      </c>
      <c r="G41" s="12">
        <f t="shared" si="4"/>
        <v>2376820.8033169261</v>
      </c>
      <c r="H41" s="22">
        <f t="shared" si="5"/>
        <v>0.95072832132677043</v>
      </c>
      <c r="J41" s="51">
        <f t="shared" si="6"/>
        <v>2292350.6196877239</v>
      </c>
      <c r="K41" s="51">
        <f>IF(N40=0,0,IF(N40&lt;BondCalculator!$B$12+BondCalculator!$B$7,N40+L41,BondCalculator!$B$12+BondCalculator!$B$7))</f>
        <v>28660.740787821473</v>
      </c>
      <c r="L41" s="51">
        <f>J41*BondCalculator!$B$5/12</f>
        <v>21968.360105340689</v>
      </c>
      <c r="M41" s="51">
        <f t="shared" si="7"/>
        <v>6692.3806824807834</v>
      </c>
      <c r="N41" s="51">
        <f t="shared" si="0"/>
        <v>2285658.2390052429</v>
      </c>
      <c r="P41" s="51">
        <f t="shared" si="1"/>
        <v>846.36359024708872</v>
      </c>
      <c r="Q41" s="63">
        <f>-PV(BondCalculator!$B$9/12,B41,0,1,0)</f>
        <v>0.8273507277579023</v>
      </c>
      <c r="S41" s="64">
        <f t="shared" si="2"/>
        <v>700.23953233871987</v>
      </c>
    </row>
    <row r="42" spans="1:19" ht="16.05" customHeight="1" x14ac:dyDescent="0.25">
      <c r="A42" s="61" t="s">
        <v>97</v>
      </c>
      <c r="B42" s="72">
        <v>39</v>
      </c>
      <c r="C42" s="12">
        <f t="shared" si="8"/>
        <v>2376820.8033169261</v>
      </c>
      <c r="D42" s="12">
        <f>IF(G41=0,0,IF(G41&lt;BondCalculator!$B$12,G41+E42,BondCalculator!$B$12))</f>
        <v>26660.740787821473</v>
      </c>
      <c r="E42" s="12">
        <f>C42*BondCalculator!$B$5/12</f>
        <v>22777.866031787209</v>
      </c>
      <c r="F42" s="12">
        <f t="shared" si="3"/>
        <v>3882.8747560342636</v>
      </c>
      <c r="G42" s="12">
        <f t="shared" si="4"/>
        <v>2372937.9285608917</v>
      </c>
      <c r="H42" s="22">
        <f t="shared" si="5"/>
        <v>0.9491751714243567</v>
      </c>
      <c r="J42" s="51">
        <f t="shared" si="6"/>
        <v>2285658.2390052429</v>
      </c>
      <c r="K42" s="51">
        <f>IF(N41=0,0,IF(N41&lt;BondCalculator!$B$12+BondCalculator!$B$7,N41+L42,BondCalculator!$B$12+BondCalculator!$B$7))</f>
        <v>28660.740787821473</v>
      </c>
      <c r="L42" s="51">
        <f>J42*BondCalculator!$B$5/12</f>
        <v>21904.224790466909</v>
      </c>
      <c r="M42" s="51">
        <f t="shared" si="7"/>
        <v>6756.5159973545633</v>
      </c>
      <c r="N42" s="51">
        <f t="shared" si="0"/>
        <v>2278901.7230078885</v>
      </c>
      <c r="P42" s="51">
        <f t="shared" si="1"/>
        <v>873.64124132029974</v>
      </c>
      <c r="Q42" s="63">
        <f>-PV(BondCalculator!$B$9/12,B42,0,1,0)</f>
        <v>0.82323455498298748</v>
      </c>
      <c r="S42" s="64">
        <f t="shared" si="2"/>
        <v>719.21165851310172</v>
      </c>
    </row>
    <row r="43" spans="1:19" ht="16.05" customHeight="1" x14ac:dyDescent="0.25">
      <c r="A43" s="61" t="s">
        <v>97</v>
      </c>
      <c r="B43" s="72">
        <v>40</v>
      </c>
      <c r="C43" s="12">
        <f t="shared" si="8"/>
        <v>2372937.9285608917</v>
      </c>
      <c r="D43" s="12">
        <f>IF(G42=0,0,IF(G42&lt;BondCalculator!$B$12,G42+E43,BondCalculator!$B$12))</f>
        <v>26660.740787821473</v>
      </c>
      <c r="E43" s="12">
        <f>C43*BondCalculator!$B$5/12</f>
        <v>22740.655148708549</v>
      </c>
      <c r="F43" s="12">
        <f t="shared" si="3"/>
        <v>3920.0856391129237</v>
      </c>
      <c r="G43" s="12">
        <f t="shared" si="4"/>
        <v>2369017.8429217786</v>
      </c>
      <c r="H43" s="22">
        <f t="shared" si="5"/>
        <v>0.94760713716871148</v>
      </c>
      <c r="J43" s="51">
        <f t="shared" si="6"/>
        <v>2278901.7230078885</v>
      </c>
      <c r="K43" s="51">
        <f>IF(N42=0,0,IF(N42&lt;BondCalculator!$B$12+BondCalculator!$B$7,N42+L43,BondCalculator!$B$12+BondCalculator!$B$7))</f>
        <v>28660.740787821473</v>
      </c>
      <c r="L43" s="51">
        <f>J43*BondCalculator!$B$5/12</f>
        <v>21839.474845492266</v>
      </c>
      <c r="M43" s="51">
        <f t="shared" si="7"/>
        <v>6821.2659423292062</v>
      </c>
      <c r="N43" s="51">
        <f t="shared" si="0"/>
        <v>2272080.4570655595</v>
      </c>
      <c r="P43" s="51">
        <f t="shared" si="1"/>
        <v>901.18030321628248</v>
      </c>
      <c r="Q43" s="63">
        <f>-PV(BondCalculator!$B$9/12,B43,0,1,0)</f>
        <v>0.81913886067958963</v>
      </c>
      <c r="S43" s="64">
        <f t="shared" si="2"/>
        <v>738.1918068434727</v>
      </c>
    </row>
    <row r="44" spans="1:19" ht="16.05" customHeight="1" x14ac:dyDescent="0.25">
      <c r="A44" s="61" t="s">
        <v>97</v>
      </c>
      <c r="B44" s="72">
        <v>41</v>
      </c>
      <c r="C44" s="12">
        <f t="shared" si="8"/>
        <v>2369017.8429217786</v>
      </c>
      <c r="D44" s="12">
        <f>IF(G43=0,0,IF(G43&lt;BondCalculator!$B$12,G43+E44,BondCalculator!$B$12))</f>
        <v>26660.740787821473</v>
      </c>
      <c r="E44" s="12">
        <f>C44*BondCalculator!$B$5/12</f>
        <v>22703.087661333713</v>
      </c>
      <c r="F44" s="12">
        <f t="shared" si="3"/>
        <v>3957.6531264877594</v>
      </c>
      <c r="G44" s="12">
        <f t="shared" si="4"/>
        <v>2365060.1897952906</v>
      </c>
      <c r="H44" s="22">
        <f t="shared" si="5"/>
        <v>0.94602407591811621</v>
      </c>
      <c r="J44" s="51">
        <f t="shared" si="6"/>
        <v>2272080.4570655595</v>
      </c>
      <c r="K44" s="51">
        <f>IF(N43=0,0,IF(N43&lt;BondCalculator!$B$12+BondCalculator!$B$7,N43+L44,BondCalculator!$B$12+BondCalculator!$B$7))</f>
        <v>28660.740787821473</v>
      </c>
      <c r="L44" s="51">
        <f>J44*BondCalculator!$B$5/12</f>
        <v>21774.104380211615</v>
      </c>
      <c r="M44" s="51">
        <f t="shared" si="7"/>
        <v>6886.636407609858</v>
      </c>
      <c r="N44" s="51">
        <f t="shared" si="0"/>
        <v>2265193.8206579494</v>
      </c>
      <c r="P44" s="51">
        <f t="shared" si="1"/>
        <v>928.98328112209856</v>
      </c>
      <c r="Q44" s="63">
        <f>-PV(BondCalculator!$B$9/12,B44,0,1,0)</f>
        <v>0.81506354296476591</v>
      </c>
      <c r="S44" s="64">
        <f t="shared" si="2"/>
        <v>757.18040446641078</v>
      </c>
    </row>
    <row r="45" spans="1:19" ht="16.05" customHeight="1" x14ac:dyDescent="0.25">
      <c r="A45" s="61" t="s">
        <v>97</v>
      </c>
      <c r="B45" s="72">
        <v>42</v>
      </c>
      <c r="C45" s="12">
        <f t="shared" si="8"/>
        <v>2365060.1897952906</v>
      </c>
      <c r="D45" s="12">
        <f>IF(G44=0,0,IF(G44&lt;BondCalculator!$B$12,G44+E45,BondCalculator!$B$12))</f>
        <v>26660.740787821473</v>
      </c>
      <c r="E45" s="12">
        <f>C45*BondCalculator!$B$5/12</f>
        <v>22665.16015220487</v>
      </c>
      <c r="F45" s="12">
        <f t="shared" si="3"/>
        <v>3995.5806356166031</v>
      </c>
      <c r="G45" s="12">
        <f t="shared" si="4"/>
        <v>2361064.609159674</v>
      </c>
      <c r="H45" s="22">
        <f t="shared" si="5"/>
        <v>0.94442584366386961</v>
      </c>
      <c r="J45" s="51">
        <f t="shared" si="6"/>
        <v>2265193.8206579494</v>
      </c>
      <c r="K45" s="51">
        <f>IF(N44=0,0,IF(N44&lt;BondCalculator!$B$12+BondCalculator!$B$7,N44+L45,BondCalculator!$B$12+BondCalculator!$B$7))</f>
        <v>28660.740787821473</v>
      </c>
      <c r="L45" s="51">
        <f>J45*BondCalculator!$B$5/12</f>
        <v>21708.107447972016</v>
      </c>
      <c r="M45" s="51">
        <f t="shared" si="7"/>
        <v>6952.6333398494571</v>
      </c>
      <c r="N45" s="51">
        <f t="shared" si="0"/>
        <v>2258241.1873181001</v>
      </c>
      <c r="P45" s="51">
        <f t="shared" si="1"/>
        <v>957.05270423285401</v>
      </c>
      <c r="Q45" s="63">
        <f>-PV(BondCalculator!$B$9/12,B45,0,1,0)</f>
        <v>0.81100850046245387</v>
      </c>
      <c r="S45" s="64">
        <f t="shared" si="2"/>
        <v>776.17787852342326</v>
      </c>
    </row>
    <row r="46" spans="1:19" ht="16.05" customHeight="1" x14ac:dyDescent="0.25">
      <c r="A46" s="61" t="s">
        <v>97</v>
      </c>
      <c r="B46" s="72">
        <v>43</v>
      </c>
      <c r="C46" s="12">
        <f t="shared" si="8"/>
        <v>2361064.609159674</v>
      </c>
      <c r="D46" s="12">
        <f>IF(G45=0,0,IF(G45&lt;BondCalculator!$B$12,G45+E46,BondCalculator!$B$12))</f>
        <v>26660.740787821473</v>
      </c>
      <c r="E46" s="12">
        <f>C46*BondCalculator!$B$5/12</f>
        <v>22626.869171113543</v>
      </c>
      <c r="F46" s="12">
        <f t="shared" si="3"/>
        <v>4033.8716167079292</v>
      </c>
      <c r="G46" s="12">
        <f t="shared" si="4"/>
        <v>2357030.7375429659</v>
      </c>
      <c r="H46" s="22">
        <f t="shared" si="5"/>
        <v>0.94281229501718633</v>
      </c>
      <c r="J46" s="51">
        <f t="shared" si="6"/>
        <v>2258241.1873181001</v>
      </c>
      <c r="K46" s="51">
        <f>IF(N45=0,0,IF(N45&lt;BondCalculator!$B$12+BondCalculator!$B$7,N45+L46,BondCalculator!$B$12+BondCalculator!$B$7))</f>
        <v>28660.740787821473</v>
      </c>
      <c r="L46" s="51">
        <f>J46*BondCalculator!$B$5/12</f>
        <v>21641.478045131793</v>
      </c>
      <c r="M46" s="51">
        <f t="shared" si="7"/>
        <v>7019.2627426896797</v>
      </c>
      <c r="N46" s="51">
        <f t="shared" si="0"/>
        <v>2251221.9245754103</v>
      </c>
      <c r="P46" s="51">
        <f t="shared" si="1"/>
        <v>985.39112598175052</v>
      </c>
      <c r="Q46" s="63">
        <f>-PV(BondCalculator!$B$9/12,B46,0,1,0)</f>
        <v>0.8069736323009491</v>
      </c>
      <c r="S46" s="64">
        <f t="shared" si="2"/>
        <v>795.18465617061531</v>
      </c>
    </row>
    <row r="47" spans="1:19" ht="16.05" customHeight="1" x14ac:dyDescent="0.25">
      <c r="A47" s="61" t="s">
        <v>97</v>
      </c>
      <c r="B47" s="72">
        <v>44</v>
      </c>
      <c r="C47" s="12">
        <f t="shared" si="8"/>
        <v>2357030.7375429659</v>
      </c>
      <c r="D47" s="12">
        <f>IF(G46=0,0,IF(G46&lt;BondCalculator!$B$12,G46+E47,BondCalculator!$B$12))</f>
        <v>26660.740787821473</v>
      </c>
      <c r="E47" s="12">
        <f>C47*BondCalculator!$B$5/12</f>
        <v>22588.211234786755</v>
      </c>
      <c r="F47" s="12">
        <f t="shared" si="3"/>
        <v>4072.5295530347175</v>
      </c>
      <c r="G47" s="12">
        <f t="shared" si="4"/>
        <v>2352958.2079899311</v>
      </c>
      <c r="H47" s="22">
        <f t="shared" si="5"/>
        <v>0.94118328319597244</v>
      </c>
      <c r="J47" s="51">
        <f t="shared" si="6"/>
        <v>2251221.9245754103</v>
      </c>
      <c r="K47" s="51">
        <f>IF(N46=0,0,IF(N46&lt;BondCalculator!$B$12+BondCalculator!$B$7,N46+L47,BondCalculator!$B$12+BondCalculator!$B$7))</f>
        <v>28660.740787821473</v>
      </c>
      <c r="L47" s="51">
        <f>J47*BondCalculator!$B$5/12</f>
        <v>21574.210110514348</v>
      </c>
      <c r="M47" s="51">
        <f t="shared" si="7"/>
        <v>7086.5306773071243</v>
      </c>
      <c r="N47" s="51">
        <f t="shared" si="0"/>
        <v>2244135.3938981034</v>
      </c>
      <c r="P47" s="51">
        <f t="shared" si="1"/>
        <v>1014.0011242724067</v>
      </c>
      <c r="Q47" s="63">
        <f>-PV(BondCalculator!$B$9/12,B47,0,1,0)</f>
        <v>0.80295883811039725</v>
      </c>
      <c r="S47" s="64">
        <f t="shared" si="2"/>
        <v>814.20116458840823</v>
      </c>
    </row>
    <row r="48" spans="1:19" ht="16.05" customHeight="1" x14ac:dyDescent="0.25">
      <c r="A48" s="61" t="s">
        <v>97</v>
      </c>
      <c r="B48" s="72">
        <v>45</v>
      </c>
      <c r="C48" s="12">
        <f t="shared" si="8"/>
        <v>2352958.2079899311</v>
      </c>
      <c r="D48" s="12">
        <f>IF(G47=0,0,IF(G47&lt;BondCalculator!$B$12,G47+E48,BondCalculator!$B$12))</f>
        <v>26660.740787821473</v>
      </c>
      <c r="E48" s="12">
        <f>C48*BondCalculator!$B$5/12</f>
        <v>22549.182826570173</v>
      </c>
      <c r="F48" s="12">
        <f t="shared" si="3"/>
        <v>4111.5579612512993</v>
      </c>
      <c r="G48" s="12">
        <f t="shared" si="4"/>
        <v>2348846.65002868</v>
      </c>
      <c r="H48" s="22">
        <f t="shared" si="5"/>
        <v>0.93953866001147202</v>
      </c>
      <c r="J48" s="51">
        <f t="shared" si="6"/>
        <v>2244135.3938981034</v>
      </c>
      <c r="K48" s="51">
        <f>IF(N47=0,0,IF(N47&lt;BondCalculator!$B$12+BondCalculator!$B$7,N47+L48,BondCalculator!$B$12+BondCalculator!$B$7))</f>
        <v>28660.740787821473</v>
      </c>
      <c r="L48" s="51">
        <f>J48*BondCalculator!$B$5/12</f>
        <v>21506.297524856825</v>
      </c>
      <c r="M48" s="51">
        <f t="shared" si="7"/>
        <v>7154.4432629646471</v>
      </c>
      <c r="N48" s="51">
        <f t="shared" si="0"/>
        <v>2236980.9506351389</v>
      </c>
      <c r="P48" s="51">
        <f t="shared" si="1"/>
        <v>1042.8853017133479</v>
      </c>
      <c r="Q48" s="63">
        <f>-PV(BondCalculator!$B$9/12,B48,0,1,0)</f>
        <v>0.79896401802029604</v>
      </c>
      <c r="S48" s="64">
        <f t="shared" si="2"/>
        <v>833.22783099120511</v>
      </c>
    </row>
    <row r="49" spans="1:19" ht="16.05" customHeight="1" x14ac:dyDescent="0.25">
      <c r="A49" s="61" t="s">
        <v>97</v>
      </c>
      <c r="B49" s="72">
        <v>46</v>
      </c>
      <c r="C49" s="12">
        <f t="shared" si="8"/>
        <v>2348846.65002868</v>
      </c>
      <c r="D49" s="12">
        <f>IF(G48=0,0,IF(G48&lt;BondCalculator!$B$12,G48+E49,BondCalculator!$B$12))</f>
        <v>26660.740787821473</v>
      </c>
      <c r="E49" s="12">
        <f>C49*BondCalculator!$B$5/12</f>
        <v>22509.780396108185</v>
      </c>
      <c r="F49" s="12">
        <f t="shared" si="3"/>
        <v>4150.9603917132881</v>
      </c>
      <c r="G49" s="12">
        <f t="shared" si="4"/>
        <v>2344695.6896369667</v>
      </c>
      <c r="H49" s="22">
        <f t="shared" si="5"/>
        <v>0.93787827585478667</v>
      </c>
      <c r="J49" s="51">
        <f t="shared" si="6"/>
        <v>2236980.9506351389</v>
      </c>
      <c r="K49" s="51">
        <f>IF(N48=0,0,IF(N48&lt;BondCalculator!$B$12+BondCalculator!$B$7,N48+L49,BondCalculator!$B$12+BondCalculator!$B$7))</f>
        <v>28660.740787821473</v>
      </c>
      <c r="L49" s="51">
        <f>J49*BondCalculator!$B$5/12</f>
        <v>21437.734110253416</v>
      </c>
      <c r="M49" s="51">
        <f t="shared" si="7"/>
        <v>7223.0066775680571</v>
      </c>
      <c r="N49" s="51">
        <f t="shared" si="0"/>
        <v>2229757.9439575709</v>
      </c>
      <c r="P49" s="51">
        <f t="shared" si="1"/>
        <v>1072.0462858547689</v>
      </c>
      <c r="Q49" s="63">
        <f>-PV(BondCalculator!$B$9/12,B49,0,1,0)</f>
        <v>0.79498907265701102</v>
      </c>
      <c r="S49" s="64">
        <f t="shared" si="2"/>
        <v>852.26508263707569</v>
      </c>
    </row>
    <row r="50" spans="1:19" ht="16.05" customHeight="1" x14ac:dyDescent="0.25">
      <c r="A50" s="61" t="s">
        <v>97</v>
      </c>
      <c r="B50" s="72">
        <v>47</v>
      </c>
      <c r="C50" s="12">
        <f t="shared" si="8"/>
        <v>2344695.6896369667</v>
      </c>
      <c r="D50" s="12">
        <f>IF(G49=0,0,IF(G49&lt;BondCalculator!$B$12,G49+E50,BondCalculator!$B$12))</f>
        <v>26660.740787821473</v>
      </c>
      <c r="E50" s="12">
        <f>C50*BondCalculator!$B$5/12</f>
        <v>22470.000359020934</v>
      </c>
      <c r="F50" s="12">
        <f t="shared" si="3"/>
        <v>4190.7404288005382</v>
      </c>
      <c r="G50" s="12">
        <f t="shared" si="4"/>
        <v>2340504.949208166</v>
      </c>
      <c r="H50" s="22">
        <f t="shared" si="5"/>
        <v>0.93620197968326635</v>
      </c>
      <c r="J50" s="51">
        <f t="shared" si="6"/>
        <v>2229757.9439575709</v>
      </c>
      <c r="K50" s="51">
        <f>IF(N49=0,0,IF(N49&lt;BondCalculator!$B$12+BondCalculator!$B$7,N49+L50,BondCalculator!$B$12+BondCalculator!$B$7))</f>
        <v>28660.740787821473</v>
      </c>
      <c r="L50" s="51">
        <f>J50*BondCalculator!$B$5/12</f>
        <v>21368.513629593388</v>
      </c>
      <c r="M50" s="51">
        <f t="shared" si="7"/>
        <v>7292.2271582280846</v>
      </c>
      <c r="N50" s="51">
        <f t="shared" si="0"/>
        <v>2222465.716799343</v>
      </c>
      <c r="P50" s="51">
        <f t="shared" si="1"/>
        <v>1101.4867294275464</v>
      </c>
      <c r="Q50" s="63">
        <f>-PV(BondCalculator!$B$9/12,B50,0,1,0)</f>
        <v>0.79103390314130473</v>
      </c>
      <c r="S50" s="64">
        <f t="shared" si="2"/>
        <v>871.31334683742227</v>
      </c>
    </row>
    <row r="51" spans="1:19" ht="16.05" customHeight="1" x14ac:dyDescent="0.25">
      <c r="A51" s="61" t="s">
        <v>97</v>
      </c>
      <c r="B51" s="72">
        <v>48</v>
      </c>
      <c r="C51" s="12">
        <f t="shared" si="8"/>
        <v>2340504.949208166</v>
      </c>
      <c r="D51" s="12">
        <f>IF(G50=0,0,IF(G50&lt;BondCalculator!$B$12,G50+E51,BondCalculator!$B$12))</f>
        <v>26660.740787821473</v>
      </c>
      <c r="E51" s="12">
        <f>C51*BondCalculator!$B$5/12</f>
        <v>22429.83909657826</v>
      </c>
      <c r="F51" s="12">
        <f t="shared" si="3"/>
        <v>4230.9016912432126</v>
      </c>
      <c r="G51" s="12">
        <f t="shared" si="4"/>
        <v>2336274.0475169229</v>
      </c>
      <c r="H51" s="22">
        <f t="shared" si="5"/>
        <v>0.93450961900676921</v>
      </c>
      <c r="J51" s="51">
        <f t="shared" si="6"/>
        <v>2222465.716799343</v>
      </c>
      <c r="K51" s="51">
        <f>IF(N50=0,0,IF(N50&lt;BondCalculator!$B$12+BondCalculator!$B$7,N50+L51,BondCalculator!$B$12+BondCalculator!$B$7))</f>
        <v>28660.740787821473</v>
      </c>
      <c r="L51" s="51">
        <f>J51*BondCalculator!$B$5/12</f>
        <v>21298.629785993704</v>
      </c>
      <c r="M51" s="51">
        <f t="shared" si="7"/>
        <v>7362.1110018277686</v>
      </c>
      <c r="N51" s="51">
        <f t="shared" si="0"/>
        <v>2215103.6057975153</v>
      </c>
      <c r="P51" s="51">
        <f t="shared" si="1"/>
        <v>1131.2093105845561</v>
      </c>
      <c r="Q51" s="63">
        <f>-PV(BondCalculator!$B$9/12,B51,0,1,0)</f>
        <v>0.78709841108587542</v>
      </c>
      <c r="S51" s="64">
        <f t="shared" si="2"/>
        <v>890.37305096665261</v>
      </c>
    </row>
    <row r="52" spans="1:19" ht="16.05" customHeight="1" x14ac:dyDescent="0.25">
      <c r="A52" s="61" t="s">
        <v>98</v>
      </c>
      <c r="B52" s="72">
        <v>49</v>
      </c>
      <c r="C52" s="12">
        <f t="shared" si="8"/>
        <v>2336274.0475169229</v>
      </c>
      <c r="D52" s="12">
        <f>IF(G51=0,0,IF(G51&lt;BondCalculator!$B$12,G51+E52,BondCalculator!$B$12))</f>
        <v>26660.740787821473</v>
      </c>
      <c r="E52" s="12">
        <f>C52*BondCalculator!$B$5/12</f>
        <v>22389.292955370514</v>
      </c>
      <c r="F52" s="12">
        <f t="shared" si="3"/>
        <v>4271.4478324509582</v>
      </c>
      <c r="G52" s="12">
        <f t="shared" si="4"/>
        <v>2332002.5996844722</v>
      </c>
      <c r="H52" s="22">
        <f t="shared" si="5"/>
        <v>0.93280103987378893</v>
      </c>
      <c r="J52" s="51">
        <f t="shared" si="6"/>
        <v>2215103.6057975153</v>
      </c>
      <c r="K52" s="51">
        <f>IF(N51=0,0,IF(N51&lt;BondCalculator!$B$12+BondCalculator!$B$7,N51+L52,BondCalculator!$B$12+BondCalculator!$B$7))</f>
        <v>28660.740787821473</v>
      </c>
      <c r="L52" s="51">
        <f>J52*BondCalculator!$B$5/12</f>
        <v>21228.076222226187</v>
      </c>
      <c r="M52" s="51">
        <f t="shared" si="7"/>
        <v>7432.6645655952852</v>
      </c>
      <c r="N52" s="51">
        <f t="shared" si="0"/>
        <v>2207670.9412319199</v>
      </c>
      <c r="P52" s="51">
        <f t="shared" si="1"/>
        <v>1161.216733144327</v>
      </c>
      <c r="Q52" s="63">
        <f>-PV(BondCalculator!$B$9/12,B52,0,1,0)</f>
        <v>0.78318249859291089</v>
      </c>
      <c r="S52" s="64">
        <f t="shared" si="2"/>
        <v>909.44462247187153</v>
      </c>
    </row>
    <row r="53" spans="1:19" ht="16.05" customHeight="1" x14ac:dyDescent="0.25">
      <c r="A53" s="61" t="s">
        <v>98</v>
      </c>
      <c r="B53" s="72">
        <v>50</v>
      </c>
      <c r="C53" s="12">
        <f t="shared" si="8"/>
        <v>2332002.5996844722</v>
      </c>
      <c r="D53" s="12">
        <f>IF(G52=0,0,IF(G52&lt;BondCalculator!$B$12,G52+E53,BondCalculator!$B$12))</f>
        <v>26660.740787821473</v>
      </c>
      <c r="E53" s="12">
        <f>C53*BondCalculator!$B$5/12</f>
        <v>22348.358246976193</v>
      </c>
      <c r="F53" s="12">
        <f t="shared" si="3"/>
        <v>4312.3825408452794</v>
      </c>
      <c r="G53" s="12">
        <f t="shared" si="4"/>
        <v>2327690.2171436269</v>
      </c>
      <c r="H53" s="22">
        <f t="shared" si="5"/>
        <v>0.9310760868574508</v>
      </c>
      <c r="J53" s="51">
        <f t="shared" si="6"/>
        <v>2207670.9412319199</v>
      </c>
      <c r="K53" s="51">
        <f>IF(N52=0,0,IF(N52&lt;BondCalculator!$B$12+BondCalculator!$B$7,N52+L53,BondCalculator!$B$12+BondCalculator!$B$7))</f>
        <v>28660.740787821473</v>
      </c>
      <c r="L53" s="51">
        <f>J53*BondCalculator!$B$5/12</f>
        <v>21156.846520139236</v>
      </c>
      <c r="M53" s="51">
        <f t="shared" si="7"/>
        <v>7503.8942676822371</v>
      </c>
      <c r="N53" s="51">
        <f t="shared" si="0"/>
        <v>2200167.0469642375</v>
      </c>
      <c r="P53" s="51">
        <f t="shared" si="1"/>
        <v>1191.5117268369577</v>
      </c>
      <c r="Q53" s="63">
        <f>-PV(BondCalculator!$B$9/12,B53,0,1,0)</f>
        <v>0.77928606825165292</v>
      </c>
      <c r="S53" s="64">
        <f t="shared" si="2"/>
        <v>928.52848888251026</v>
      </c>
    </row>
    <row r="54" spans="1:19" ht="16.05" customHeight="1" x14ac:dyDescent="0.25">
      <c r="A54" s="61" t="s">
        <v>98</v>
      </c>
      <c r="B54" s="72">
        <v>51</v>
      </c>
      <c r="C54" s="12">
        <f t="shared" si="8"/>
        <v>2327690.2171436269</v>
      </c>
      <c r="D54" s="12">
        <f>IF(G53=0,0,IF(G53&lt;BondCalculator!$B$12,G53+E54,BondCalculator!$B$12))</f>
        <v>26660.740787821473</v>
      </c>
      <c r="E54" s="12">
        <f>C54*BondCalculator!$B$5/12</f>
        <v>22307.031247626426</v>
      </c>
      <c r="F54" s="12">
        <f t="shared" si="3"/>
        <v>4353.7095401950464</v>
      </c>
      <c r="G54" s="12">
        <f t="shared" si="4"/>
        <v>2323336.5076034321</v>
      </c>
      <c r="H54" s="22">
        <f t="shared" si="5"/>
        <v>0.92933460304137283</v>
      </c>
      <c r="J54" s="51">
        <f t="shared" si="6"/>
        <v>2200167.0469642375</v>
      </c>
      <c r="K54" s="51">
        <f>IF(N53=0,0,IF(N53&lt;BondCalculator!$B$12+BondCalculator!$B$7,N53+L54,BondCalculator!$B$12+BondCalculator!$B$7))</f>
        <v>28660.740787821473</v>
      </c>
      <c r="L54" s="51">
        <f>J54*BondCalculator!$B$5/12</f>
        <v>21084.934200073945</v>
      </c>
      <c r="M54" s="51">
        <f t="shared" si="7"/>
        <v>7575.8065877475274</v>
      </c>
      <c r="N54" s="51">
        <f t="shared" si="0"/>
        <v>2192591.2403764902</v>
      </c>
      <c r="P54" s="51">
        <f t="shared" si="1"/>
        <v>1222.0970475524809</v>
      </c>
      <c r="Q54" s="63">
        <f>-PV(BondCalculator!$B$9/12,B54,0,1,0)</f>
        <v>0.77540902313597315</v>
      </c>
      <c r="S54" s="64">
        <f t="shared" si="2"/>
        <v>947.62507782002615</v>
      </c>
    </row>
    <row r="55" spans="1:19" ht="16.05" customHeight="1" x14ac:dyDescent="0.25">
      <c r="A55" s="61" t="s">
        <v>98</v>
      </c>
      <c r="B55" s="72">
        <v>52</v>
      </c>
      <c r="C55" s="12">
        <f t="shared" si="8"/>
        <v>2323336.5076034321</v>
      </c>
      <c r="D55" s="12">
        <f>IF(G54=0,0,IF(G54&lt;BondCalculator!$B$12,G54+E55,BondCalculator!$B$12))</f>
        <v>26660.740787821473</v>
      </c>
      <c r="E55" s="12">
        <f>C55*BondCalculator!$B$5/12</f>
        <v>22265.308197866223</v>
      </c>
      <c r="F55" s="12">
        <f t="shared" si="3"/>
        <v>4395.4325899552496</v>
      </c>
      <c r="G55" s="12">
        <f t="shared" si="4"/>
        <v>2318941.0750134769</v>
      </c>
      <c r="H55" s="22">
        <f t="shared" si="5"/>
        <v>0.92757643000539081</v>
      </c>
      <c r="J55" s="51">
        <f t="shared" si="6"/>
        <v>2192591.2403764902</v>
      </c>
      <c r="K55" s="51">
        <f>IF(N54=0,0,IF(N54&lt;BondCalculator!$B$12+BondCalculator!$B$7,N54+L55,BondCalculator!$B$12+BondCalculator!$B$7))</f>
        <v>28660.740787821473</v>
      </c>
      <c r="L55" s="51">
        <f>J55*BondCalculator!$B$5/12</f>
        <v>21012.332720274699</v>
      </c>
      <c r="M55" s="51">
        <f t="shared" si="7"/>
        <v>7648.408067546774</v>
      </c>
      <c r="N55" s="51">
        <f t="shared" si="0"/>
        <v>2184942.8323089434</v>
      </c>
      <c r="P55" s="51">
        <f t="shared" si="1"/>
        <v>1252.9754775915244</v>
      </c>
      <c r="Q55" s="63">
        <f>-PV(BondCalculator!$B$9/12,B55,0,1,0)</f>
        <v>0.7715512668019634</v>
      </c>
      <c r="S55" s="64">
        <f t="shared" si="2"/>
        <v>966.73481700753575</v>
      </c>
    </row>
    <row r="56" spans="1:19" ht="16.05" customHeight="1" x14ac:dyDescent="0.25">
      <c r="A56" s="61" t="s">
        <v>98</v>
      </c>
      <c r="B56" s="72">
        <v>53</v>
      </c>
      <c r="C56" s="12">
        <f t="shared" si="8"/>
        <v>2318941.0750134769</v>
      </c>
      <c r="D56" s="12">
        <f>IF(G55=0,0,IF(G55&lt;BondCalculator!$B$12,G55+E56,BondCalculator!$B$12))</f>
        <v>26660.740787821473</v>
      </c>
      <c r="E56" s="12">
        <f>C56*BondCalculator!$B$5/12</f>
        <v>22223.185302212489</v>
      </c>
      <c r="F56" s="12">
        <f t="shared" si="3"/>
        <v>4437.5554856089839</v>
      </c>
      <c r="G56" s="12">
        <f t="shared" si="4"/>
        <v>2314503.5195278679</v>
      </c>
      <c r="H56" s="22">
        <f t="shared" si="5"/>
        <v>0.92580140781114717</v>
      </c>
      <c r="J56" s="51">
        <f t="shared" si="6"/>
        <v>2184942.8323089434</v>
      </c>
      <c r="K56" s="51">
        <f>IF(N55=0,0,IF(N55&lt;BondCalculator!$B$12+BondCalculator!$B$7,N55+L56,BondCalculator!$B$12+BondCalculator!$B$7))</f>
        <v>28660.740787821473</v>
      </c>
      <c r="L56" s="51">
        <f>J56*BondCalculator!$B$5/12</f>
        <v>20939.035476294041</v>
      </c>
      <c r="M56" s="51">
        <f t="shared" si="7"/>
        <v>7721.7053115274321</v>
      </c>
      <c r="N56" s="51">
        <f t="shared" si="0"/>
        <v>2177221.1269974159</v>
      </c>
      <c r="P56" s="51">
        <f t="shared" si="1"/>
        <v>1284.1498259184482</v>
      </c>
      <c r="Q56" s="63">
        <f>-PV(BondCalculator!$B$9/12,B56,0,1,0)</f>
        <v>0.76771270328553587</v>
      </c>
      <c r="S56" s="64">
        <f t="shared" si="2"/>
        <v>985.85813427950211</v>
      </c>
    </row>
    <row r="57" spans="1:19" ht="16.05" customHeight="1" x14ac:dyDescent="0.25">
      <c r="A57" s="61" t="s">
        <v>98</v>
      </c>
      <c r="B57" s="72">
        <v>54</v>
      </c>
      <c r="C57" s="12">
        <f t="shared" si="8"/>
        <v>2314503.5195278679</v>
      </c>
      <c r="D57" s="12">
        <f>IF(G56=0,0,IF(G56&lt;BondCalculator!$B$12,G56+E57,BondCalculator!$B$12))</f>
        <v>26660.740787821473</v>
      </c>
      <c r="E57" s="12">
        <f>C57*BondCalculator!$B$5/12</f>
        <v>22180.658728808736</v>
      </c>
      <c r="F57" s="12">
        <f t="shared" si="3"/>
        <v>4480.0820590127369</v>
      </c>
      <c r="G57" s="12">
        <f t="shared" si="4"/>
        <v>2310023.4374688552</v>
      </c>
      <c r="H57" s="22">
        <f t="shared" si="5"/>
        <v>0.9240093749875421</v>
      </c>
      <c r="J57" s="51">
        <f t="shared" si="6"/>
        <v>2177221.1269974159</v>
      </c>
      <c r="K57" s="51">
        <f>IF(N56=0,0,IF(N56&lt;BondCalculator!$B$12+BondCalculator!$B$7,N56+L57,BondCalculator!$B$12+BondCalculator!$B$7))</f>
        <v>28660.740787821473</v>
      </c>
      <c r="L57" s="51">
        <f>J57*BondCalculator!$B$5/12</f>
        <v>20865.035800391903</v>
      </c>
      <c r="M57" s="51">
        <f t="shared" si="7"/>
        <v>7795.7049874295699</v>
      </c>
      <c r="N57" s="51">
        <f t="shared" si="0"/>
        <v>2169425.4220099864</v>
      </c>
      <c r="P57" s="51">
        <f t="shared" si="1"/>
        <v>1315.622928416833</v>
      </c>
      <c r="Q57" s="63">
        <f>-PV(BondCalculator!$B$9/12,B57,0,1,0)</f>
        <v>0.76389323710003587</v>
      </c>
      <c r="S57" s="64">
        <f t="shared" si="2"/>
        <v>1004.9954575913633</v>
      </c>
    </row>
    <row r="58" spans="1:19" ht="16.05" customHeight="1" x14ac:dyDescent="0.25">
      <c r="A58" s="61" t="s">
        <v>98</v>
      </c>
      <c r="B58" s="72">
        <v>55</v>
      </c>
      <c r="C58" s="12">
        <f t="shared" si="8"/>
        <v>2310023.4374688552</v>
      </c>
      <c r="D58" s="12">
        <f>IF(G57=0,0,IF(G57&lt;BondCalculator!$B$12,G57+E58,BondCalculator!$B$12))</f>
        <v>26660.740787821473</v>
      </c>
      <c r="E58" s="12">
        <f>C58*BondCalculator!$B$5/12</f>
        <v>22137.724609076529</v>
      </c>
      <c r="F58" s="12">
        <f t="shared" si="3"/>
        <v>4523.0161787449433</v>
      </c>
      <c r="G58" s="12">
        <f t="shared" si="4"/>
        <v>2305500.4212901103</v>
      </c>
      <c r="H58" s="22">
        <f t="shared" si="5"/>
        <v>0.92220016851604414</v>
      </c>
      <c r="J58" s="51">
        <f t="shared" si="6"/>
        <v>2169425.4220099864</v>
      </c>
      <c r="K58" s="51">
        <f>IF(N57=0,0,IF(N57&lt;BondCalculator!$B$12+BondCalculator!$B$7,N57+L58,BondCalculator!$B$12+BondCalculator!$B$7))</f>
        <v>28660.740787821473</v>
      </c>
      <c r="L58" s="51">
        <f>J58*BondCalculator!$B$5/12</f>
        <v>20790.326960929036</v>
      </c>
      <c r="M58" s="51">
        <f t="shared" si="7"/>
        <v>7870.4138268924362</v>
      </c>
      <c r="N58" s="51">
        <f t="shared" si="0"/>
        <v>2161555.0081830937</v>
      </c>
      <c r="P58" s="51">
        <f t="shared" si="1"/>
        <v>1347.3976481474929</v>
      </c>
      <c r="Q58" s="63">
        <f>-PV(BondCalculator!$B$9/12,B58,0,1,0)</f>
        <v>0.76009277323386659</v>
      </c>
      <c r="S58" s="64">
        <f t="shared" si="2"/>
        <v>1024.1472150292175</v>
      </c>
    </row>
    <row r="59" spans="1:19" ht="16.05" customHeight="1" x14ac:dyDescent="0.25">
      <c r="A59" s="61" t="s">
        <v>98</v>
      </c>
      <c r="B59" s="72">
        <v>56</v>
      </c>
      <c r="C59" s="12">
        <f t="shared" si="8"/>
        <v>2305500.4212901103</v>
      </c>
      <c r="D59" s="12">
        <f>IF(G58=0,0,IF(G58&lt;BondCalculator!$B$12,G58+E59,BondCalculator!$B$12))</f>
        <v>26660.740787821473</v>
      </c>
      <c r="E59" s="12">
        <f>C59*BondCalculator!$B$5/12</f>
        <v>22094.379037363557</v>
      </c>
      <c r="F59" s="12">
        <f t="shared" si="3"/>
        <v>4566.3617504579161</v>
      </c>
      <c r="G59" s="12">
        <f t="shared" si="4"/>
        <v>2300934.0595396524</v>
      </c>
      <c r="H59" s="22">
        <f t="shared" si="5"/>
        <v>0.92037362381586096</v>
      </c>
      <c r="J59" s="51">
        <f t="shared" si="6"/>
        <v>2161555.0081830937</v>
      </c>
      <c r="K59" s="51">
        <f>IF(N58=0,0,IF(N58&lt;BondCalculator!$B$12+BondCalculator!$B$7,N58+L59,BondCalculator!$B$12+BondCalculator!$B$7))</f>
        <v>28660.740787821473</v>
      </c>
      <c r="L59" s="51">
        <f>J59*BondCalculator!$B$5/12</f>
        <v>20714.90216175465</v>
      </c>
      <c r="M59" s="51">
        <f t="shared" si="7"/>
        <v>7945.8386260668231</v>
      </c>
      <c r="N59" s="51">
        <f t="shared" si="0"/>
        <v>2153609.1695570271</v>
      </c>
      <c r="P59" s="51">
        <f t="shared" si="1"/>
        <v>1379.476875608907</v>
      </c>
      <c r="Q59" s="63">
        <f>-PV(BondCalculator!$B$9/12,B59,0,1,0)</f>
        <v>0.75631121714812588</v>
      </c>
      <c r="S59" s="64">
        <f t="shared" si="2"/>
        <v>1043.3138348194664</v>
      </c>
    </row>
    <row r="60" spans="1:19" ht="16.05" customHeight="1" x14ac:dyDescent="0.25">
      <c r="A60" s="61" t="s">
        <v>98</v>
      </c>
      <c r="B60" s="72">
        <v>57</v>
      </c>
      <c r="C60" s="12">
        <f t="shared" si="8"/>
        <v>2300934.0595396524</v>
      </c>
      <c r="D60" s="12">
        <f>IF(G59=0,0,IF(G59&lt;BondCalculator!$B$12,G59+E60,BondCalculator!$B$12))</f>
        <v>26660.740787821473</v>
      </c>
      <c r="E60" s="12">
        <f>C60*BondCalculator!$B$5/12</f>
        <v>22050.618070588334</v>
      </c>
      <c r="F60" s="12">
        <f t="shared" si="3"/>
        <v>4610.1227172331382</v>
      </c>
      <c r="G60" s="12">
        <f t="shared" si="4"/>
        <v>2296323.9368224195</v>
      </c>
      <c r="H60" s="22">
        <f t="shared" si="5"/>
        <v>0.91852957472896779</v>
      </c>
      <c r="J60" s="51">
        <f t="shared" si="6"/>
        <v>2153609.1695570271</v>
      </c>
      <c r="K60" s="51">
        <f>IF(N59=0,0,IF(N59&lt;BondCalculator!$B$12+BondCalculator!$B$7,N59+L60,BondCalculator!$B$12+BondCalculator!$B$7))</f>
        <v>28660.740787821473</v>
      </c>
      <c r="L60" s="51">
        <f>J60*BondCalculator!$B$5/12</f>
        <v>20638.754541588176</v>
      </c>
      <c r="M60" s="51">
        <f t="shared" si="7"/>
        <v>8021.9862462332967</v>
      </c>
      <c r="N60" s="51">
        <f t="shared" si="0"/>
        <v>2145587.1833107937</v>
      </c>
      <c r="P60" s="51">
        <f t="shared" si="1"/>
        <v>1411.8635290001585</v>
      </c>
      <c r="Q60" s="63">
        <f>-PV(BondCalculator!$B$9/12,B60,0,1,0)</f>
        <v>0.75254847477425479</v>
      </c>
      <c r="S60" s="64">
        <f t="shared" si="2"/>
        <v>1062.4957453384661</v>
      </c>
    </row>
    <row r="61" spans="1:19" ht="16.05" customHeight="1" x14ac:dyDescent="0.25">
      <c r="A61" s="61" t="s">
        <v>98</v>
      </c>
      <c r="B61" s="72">
        <v>58</v>
      </c>
      <c r="C61" s="12">
        <f t="shared" si="8"/>
        <v>2296323.9368224195</v>
      </c>
      <c r="D61" s="12">
        <f>IF(G60=0,0,IF(G60&lt;BondCalculator!$B$12,G60+E61,BondCalculator!$B$12))</f>
        <v>26660.740787821473</v>
      </c>
      <c r="E61" s="12">
        <f>C61*BondCalculator!$B$5/12</f>
        <v>22006.437727881523</v>
      </c>
      <c r="F61" s="12">
        <f t="shared" si="3"/>
        <v>4654.3030599399499</v>
      </c>
      <c r="G61" s="12">
        <f t="shared" si="4"/>
        <v>2291669.6337624798</v>
      </c>
      <c r="H61" s="22">
        <f t="shared" si="5"/>
        <v>0.91666785350499191</v>
      </c>
      <c r="J61" s="51">
        <f t="shared" si="6"/>
        <v>2145587.1833107937</v>
      </c>
      <c r="K61" s="51">
        <f>IF(N60=0,0,IF(N60&lt;BondCalculator!$B$12+BondCalculator!$B$7,N60+L61,BondCalculator!$B$12+BondCalculator!$B$7))</f>
        <v>28660.740787821473</v>
      </c>
      <c r="L61" s="51">
        <f>J61*BondCalculator!$B$5/12</f>
        <v>20561.877173395107</v>
      </c>
      <c r="M61" s="51">
        <f t="shared" si="7"/>
        <v>8098.8636144263655</v>
      </c>
      <c r="N61" s="51">
        <f t="shared" si="0"/>
        <v>2137488.3196963673</v>
      </c>
      <c r="P61" s="51">
        <f t="shared" si="1"/>
        <v>1444.5605544864156</v>
      </c>
      <c r="Q61" s="63">
        <f>-PV(BondCalculator!$B$9/12,B61,0,1,0)</f>
        <v>0.74880445251169647</v>
      </c>
      <c r="S61" s="64">
        <f t="shared" si="2"/>
        <v>1081.6933751221932</v>
      </c>
    </row>
    <row r="62" spans="1:19" ht="16.05" customHeight="1" x14ac:dyDescent="0.25">
      <c r="A62" s="61" t="s">
        <v>98</v>
      </c>
      <c r="B62" s="72">
        <v>59</v>
      </c>
      <c r="C62" s="12">
        <f t="shared" si="8"/>
        <v>2291669.6337624798</v>
      </c>
      <c r="D62" s="12">
        <f>IF(G61=0,0,IF(G61&lt;BondCalculator!$B$12,G61+E62,BondCalculator!$B$12))</f>
        <v>26660.740787821473</v>
      </c>
      <c r="E62" s="12">
        <f>C62*BondCalculator!$B$5/12</f>
        <v>21961.833990223764</v>
      </c>
      <c r="F62" s="12">
        <f t="shared" si="3"/>
        <v>4698.9067975977086</v>
      </c>
      <c r="G62" s="12">
        <f t="shared" si="4"/>
        <v>2286970.7269648821</v>
      </c>
      <c r="H62" s="22">
        <f t="shared" si="5"/>
        <v>0.91478829078595281</v>
      </c>
      <c r="J62" s="51">
        <f t="shared" si="6"/>
        <v>2137488.3196963673</v>
      </c>
      <c r="K62" s="51">
        <f>IF(N61=0,0,IF(N61&lt;BondCalculator!$B$12+BondCalculator!$B$7,N61+L62,BondCalculator!$B$12+BondCalculator!$B$7))</f>
        <v>28660.740787821473</v>
      </c>
      <c r="L62" s="51">
        <f>J62*BondCalculator!$B$5/12</f>
        <v>20484.263063756855</v>
      </c>
      <c r="M62" s="51">
        <f t="shared" si="7"/>
        <v>8176.4777240646181</v>
      </c>
      <c r="N62" s="51">
        <f t="shared" si="0"/>
        <v>2129311.8419723026</v>
      </c>
      <c r="P62" s="51">
        <f t="shared" si="1"/>
        <v>1477.5709264669094</v>
      </c>
      <c r="Q62" s="63">
        <f>-PV(BondCalculator!$B$9/12,B62,0,1,0)</f>
        <v>0.74507905722556877</v>
      </c>
      <c r="S62" s="64">
        <f t="shared" si="2"/>
        <v>1100.907152875875</v>
      </c>
    </row>
    <row r="63" spans="1:19" ht="16.05" customHeight="1" x14ac:dyDescent="0.25">
      <c r="A63" s="61" t="s">
        <v>98</v>
      </c>
      <c r="B63" s="72">
        <v>60</v>
      </c>
      <c r="C63" s="12">
        <f t="shared" si="8"/>
        <v>2286970.7269648821</v>
      </c>
      <c r="D63" s="12">
        <f>IF(G62=0,0,IF(G62&lt;BondCalculator!$B$12,G62+E63,BondCalculator!$B$12))</f>
        <v>26660.740787821473</v>
      </c>
      <c r="E63" s="12">
        <f>C63*BondCalculator!$B$5/12</f>
        <v>21916.802800080124</v>
      </c>
      <c r="F63" s="12">
        <f t="shared" si="3"/>
        <v>4743.9379877413485</v>
      </c>
      <c r="G63" s="12">
        <f t="shared" si="4"/>
        <v>2282226.7889771406</v>
      </c>
      <c r="H63" s="22">
        <f t="shared" si="5"/>
        <v>0.91289071559085622</v>
      </c>
      <c r="J63" s="51">
        <f t="shared" si="6"/>
        <v>2129311.8419723026</v>
      </c>
      <c r="K63" s="51">
        <f>IF(N62=0,0,IF(N62&lt;BondCalculator!$B$12+BondCalculator!$B$7,N62+L63,BondCalculator!$B$12+BondCalculator!$B$7))</f>
        <v>28660.740787821473</v>
      </c>
      <c r="L63" s="51">
        <f>J63*BondCalculator!$B$5/12</f>
        <v>20405.905152234569</v>
      </c>
      <c r="M63" s="51">
        <f t="shared" si="7"/>
        <v>8254.8356355869037</v>
      </c>
      <c r="N63" s="51">
        <f t="shared" si="0"/>
        <v>2121057.0063367155</v>
      </c>
      <c r="P63" s="51">
        <f t="shared" si="1"/>
        <v>1510.8976478455552</v>
      </c>
      <c r="Q63" s="63">
        <f>-PV(BondCalculator!$B$9/12,B63,0,1,0)</f>
        <v>0.74137219624434714</v>
      </c>
      <c r="S63" s="64">
        <f t="shared" si="2"/>
        <v>1120.1375074836774</v>
      </c>
    </row>
    <row r="64" spans="1:19" ht="16.05" customHeight="1" x14ac:dyDescent="0.25">
      <c r="A64" s="61" t="s">
        <v>99</v>
      </c>
      <c r="B64" s="72">
        <v>61</v>
      </c>
      <c r="C64" s="12">
        <f t="shared" si="8"/>
        <v>2282226.7889771406</v>
      </c>
      <c r="D64" s="12">
        <f>IF(G63=0,0,IF(G63&lt;BondCalculator!$B$12,G63+E64,BondCalculator!$B$12))</f>
        <v>26660.740787821473</v>
      </c>
      <c r="E64" s="12">
        <f>C64*BondCalculator!$B$5/12</f>
        <v>21871.340061030933</v>
      </c>
      <c r="F64" s="12">
        <f t="shared" si="3"/>
        <v>4789.4007267905399</v>
      </c>
      <c r="G64" s="12">
        <f t="shared" si="4"/>
        <v>2277437.38825035</v>
      </c>
      <c r="H64" s="22">
        <f t="shared" si="5"/>
        <v>0.91097495530014005</v>
      </c>
      <c r="J64" s="51">
        <f t="shared" si="6"/>
        <v>2121057.0063367155</v>
      </c>
      <c r="K64" s="51">
        <f>IF(N63=0,0,IF(N63&lt;BondCalculator!$B$12+BondCalculator!$B$7,N63+L64,BondCalculator!$B$12+BondCalculator!$B$7))</f>
        <v>28660.740787821473</v>
      </c>
      <c r="L64" s="51">
        <f>J64*BondCalculator!$B$5/12</f>
        <v>20326.796310726859</v>
      </c>
      <c r="M64" s="51">
        <f t="shared" si="7"/>
        <v>8333.9444770946138</v>
      </c>
      <c r="N64" s="51">
        <f t="shared" si="0"/>
        <v>2112723.0618596207</v>
      </c>
      <c r="P64" s="51">
        <f t="shared" si="1"/>
        <v>1544.5437503040739</v>
      </c>
      <c r="Q64" s="63">
        <f>-PV(BondCalculator!$B$9/12,B64,0,1,0)</f>
        <v>0.73768377735755941</v>
      </c>
      <c r="S64" s="64">
        <f t="shared" si="2"/>
        <v>1139.3848680183203</v>
      </c>
    </row>
    <row r="65" spans="1:19" ht="16.05" customHeight="1" x14ac:dyDescent="0.25">
      <c r="A65" s="61" t="s">
        <v>99</v>
      </c>
      <c r="B65" s="72">
        <v>62</v>
      </c>
      <c r="C65" s="12">
        <f t="shared" si="8"/>
        <v>2277437.38825035</v>
      </c>
      <c r="D65" s="12">
        <f>IF(G64=0,0,IF(G64&lt;BondCalculator!$B$12,G64+E65,BondCalculator!$B$12))</f>
        <v>26660.740787821473</v>
      </c>
      <c r="E65" s="12">
        <f>C65*BondCalculator!$B$5/12</f>
        <v>21825.441637399188</v>
      </c>
      <c r="F65" s="12">
        <f t="shared" si="3"/>
        <v>4835.2991504222846</v>
      </c>
      <c r="G65" s="12">
        <f t="shared" si="4"/>
        <v>2272602.0890999278</v>
      </c>
      <c r="H65" s="22">
        <f t="shared" si="5"/>
        <v>0.90904083563997107</v>
      </c>
      <c r="J65" s="51">
        <f t="shared" si="6"/>
        <v>2112723.0618596207</v>
      </c>
      <c r="K65" s="51">
        <f>IF(N64=0,0,IF(N64&lt;BondCalculator!$B$12+BondCalculator!$B$7,N64+L65,BondCalculator!$B$12+BondCalculator!$B$7))</f>
        <v>28660.740787821473</v>
      </c>
      <c r="L65" s="51">
        <f>J65*BondCalculator!$B$5/12</f>
        <v>20246.929342821368</v>
      </c>
      <c r="M65" s="51">
        <f t="shared" si="7"/>
        <v>8413.8114450001049</v>
      </c>
      <c r="N65" s="51">
        <f t="shared" si="0"/>
        <v>2104309.2504146206</v>
      </c>
      <c r="P65" s="51">
        <f t="shared" si="1"/>
        <v>1578.5122945778203</v>
      </c>
      <c r="Q65" s="63">
        <f>-PV(BondCalculator!$B$9/12,B65,0,1,0)</f>
        <v>0.73401370881349215</v>
      </c>
      <c r="S65" s="64">
        <f t="shared" si="2"/>
        <v>1158.6496637507614</v>
      </c>
    </row>
    <row r="66" spans="1:19" ht="16.05" customHeight="1" x14ac:dyDescent="0.25">
      <c r="A66" s="61" t="s">
        <v>99</v>
      </c>
      <c r="B66" s="72">
        <v>63</v>
      </c>
      <c r="C66" s="12">
        <f t="shared" si="8"/>
        <v>2272602.0890999278</v>
      </c>
      <c r="D66" s="12">
        <f>IF(G65=0,0,IF(G65&lt;BondCalculator!$B$12,G65+E66,BondCalculator!$B$12))</f>
        <v>26660.740787821473</v>
      </c>
      <c r="E66" s="12">
        <f>C66*BondCalculator!$B$5/12</f>
        <v>21779.10335387431</v>
      </c>
      <c r="F66" s="12">
        <f t="shared" si="3"/>
        <v>4881.6374339471622</v>
      </c>
      <c r="G66" s="12">
        <f t="shared" si="4"/>
        <v>2267720.4516659807</v>
      </c>
      <c r="H66" s="22">
        <f t="shared" si="5"/>
        <v>0.9070881806663923</v>
      </c>
      <c r="J66" s="51">
        <f t="shared" si="6"/>
        <v>2104309.2504146206</v>
      </c>
      <c r="K66" s="51">
        <f>IF(N65=0,0,IF(N65&lt;BondCalculator!$B$12+BondCalculator!$B$7,N65+L66,BondCalculator!$B$12+BondCalculator!$B$7))</f>
        <v>28660.740787821473</v>
      </c>
      <c r="L66" s="51">
        <f>J66*BondCalculator!$B$5/12</f>
        <v>20166.296983140117</v>
      </c>
      <c r="M66" s="51">
        <f t="shared" si="7"/>
        <v>8494.4438046813557</v>
      </c>
      <c r="N66" s="51">
        <f t="shared" si="0"/>
        <v>2095814.8066099393</v>
      </c>
      <c r="P66" s="51">
        <f t="shared" si="1"/>
        <v>1612.8063707341935</v>
      </c>
      <c r="Q66" s="63">
        <f>-PV(BondCalculator!$B$9/12,B66,0,1,0)</f>
        <v>0.73036189931690765</v>
      </c>
      <c r="S66" s="64">
        <f t="shared" si="2"/>
        <v>1177.9323241598343</v>
      </c>
    </row>
    <row r="67" spans="1:19" ht="16.05" customHeight="1" x14ac:dyDescent="0.25">
      <c r="A67" s="61" t="s">
        <v>99</v>
      </c>
      <c r="B67" s="72">
        <v>64</v>
      </c>
      <c r="C67" s="12">
        <f t="shared" si="8"/>
        <v>2267720.4516659807</v>
      </c>
      <c r="D67" s="12">
        <f>IF(G66=0,0,IF(G66&lt;BondCalculator!$B$12,G66+E67,BondCalculator!$B$12))</f>
        <v>26660.740787821473</v>
      </c>
      <c r="E67" s="12">
        <f>C67*BondCalculator!$B$5/12</f>
        <v>21732.320995132319</v>
      </c>
      <c r="F67" s="12">
        <f t="shared" si="3"/>
        <v>4928.4197926891538</v>
      </c>
      <c r="G67" s="12">
        <f t="shared" si="4"/>
        <v>2262792.0318732914</v>
      </c>
      <c r="H67" s="22">
        <f t="shared" si="5"/>
        <v>0.90511681274931655</v>
      </c>
      <c r="J67" s="51">
        <f t="shared" si="6"/>
        <v>2095814.8066099393</v>
      </c>
      <c r="K67" s="51">
        <f>IF(N66=0,0,IF(N66&lt;BondCalculator!$B$12+BondCalculator!$B$7,N66+L67,BondCalculator!$B$12+BondCalculator!$B$7))</f>
        <v>28660.740787821473</v>
      </c>
      <c r="L67" s="51">
        <f>J67*BondCalculator!$B$5/12</f>
        <v>20084.891896678586</v>
      </c>
      <c r="M67" s="51">
        <f t="shared" si="7"/>
        <v>8575.8488911428867</v>
      </c>
      <c r="N67" s="51">
        <f t="shared" si="0"/>
        <v>2087238.9577187963</v>
      </c>
      <c r="P67" s="51">
        <f t="shared" si="1"/>
        <v>1647.4290984537329</v>
      </c>
      <c r="Q67" s="63">
        <f>-PV(BondCalculator!$B$9/12,B67,0,1,0)</f>
        <v>0.72672825802677388</v>
      </c>
      <c r="S67" s="64">
        <f t="shared" si="2"/>
        <v>1197.2332789418999</v>
      </c>
    </row>
    <row r="68" spans="1:19" ht="16.05" customHeight="1" x14ac:dyDescent="0.25">
      <c r="A68" s="61" t="s">
        <v>99</v>
      </c>
      <c r="B68" s="72">
        <v>65</v>
      </c>
      <c r="C68" s="12">
        <f t="shared" si="8"/>
        <v>2262792.0318732914</v>
      </c>
      <c r="D68" s="12">
        <f>IF(G67=0,0,IF(G67&lt;BondCalculator!$B$12,G67+E68,BondCalculator!$B$12))</f>
        <v>26660.740787821473</v>
      </c>
      <c r="E68" s="12">
        <f>C68*BondCalculator!$B$5/12</f>
        <v>21685.090305452377</v>
      </c>
      <c r="F68" s="12">
        <f t="shared" si="3"/>
        <v>4975.6504823690957</v>
      </c>
      <c r="G68" s="12">
        <f t="shared" si="4"/>
        <v>2257816.3813909222</v>
      </c>
      <c r="H68" s="22">
        <f t="shared" si="5"/>
        <v>0.90312655255636887</v>
      </c>
      <c r="J68" s="51">
        <f t="shared" si="6"/>
        <v>2087238.9577187963</v>
      </c>
      <c r="K68" s="51">
        <f>IF(N67=0,0,IF(N67&lt;BondCalculator!$B$12+BondCalculator!$B$7,N67+L68,BondCalculator!$B$12+BondCalculator!$B$7))</f>
        <v>28660.740787821473</v>
      </c>
      <c r="L68" s="51">
        <f>J68*BondCalculator!$B$5/12</f>
        <v>20002.706678138467</v>
      </c>
      <c r="M68" s="51">
        <f t="shared" si="7"/>
        <v>8658.0341096830052</v>
      </c>
      <c r="N68" s="51">
        <f t="shared" ref="N68:N131" si="9">J68-M68</f>
        <v>2078580.9236091133</v>
      </c>
      <c r="P68" s="51">
        <f t="shared" ref="P68:P131" si="10">E68-L68</f>
        <v>1682.3836273139095</v>
      </c>
      <c r="Q68" s="63">
        <f>-PV(BondCalculator!$B$9/12,B68,0,1,0)</f>
        <v>0.72311269455400395</v>
      </c>
      <c r="S68" s="64">
        <f t="shared" ref="S68:S131" si="11">P68*Q68</f>
        <v>1216.5529580205002</v>
      </c>
    </row>
    <row r="69" spans="1:19" ht="16.05" customHeight="1" x14ac:dyDescent="0.25">
      <c r="A69" s="61" t="s">
        <v>99</v>
      </c>
      <c r="B69" s="72">
        <v>66</v>
      </c>
      <c r="C69" s="12">
        <f t="shared" si="8"/>
        <v>2257816.3813909222</v>
      </c>
      <c r="D69" s="12">
        <f>IF(G68=0,0,IF(G68&lt;BondCalculator!$B$12,G68+E69,BondCalculator!$B$12))</f>
        <v>26660.740787821473</v>
      </c>
      <c r="E69" s="12">
        <f>C69*BondCalculator!$B$5/12</f>
        <v>21637.406988329672</v>
      </c>
      <c r="F69" s="12">
        <f t="shared" ref="F69:F132" si="12">D69-E69</f>
        <v>5023.3337994918002</v>
      </c>
      <c r="G69" s="12">
        <f t="shared" ref="G69:G132" si="13">IF(ROUND(C69-F69,2)=0,0,C69-F69)</f>
        <v>2252793.0475914306</v>
      </c>
      <c r="H69" s="22">
        <f t="shared" ref="H69:H132" si="14">IF($C$4=0,0,G69/$C$4)</f>
        <v>0.90111721903657227</v>
      </c>
      <c r="J69" s="51">
        <f t="shared" ref="J69:J132" si="15">IF(ROUND(N68,0)&gt;0,N68,0)</f>
        <v>2078580.9236091133</v>
      </c>
      <c r="K69" s="51">
        <f>IF(N68=0,0,IF(N68&lt;BondCalculator!$B$12+BondCalculator!$B$7,N68+L69,BondCalculator!$B$12+BondCalculator!$B$7))</f>
        <v>28660.740787821473</v>
      </c>
      <c r="L69" s="51">
        <f>J69*BondCalculator!$B$5/12</f>
        <v>19919.733851254005</v>
      </c>
      <c r="M69" s="51">
        <f t="shared" ref="M69:M132" si="16">IF(K69-L69&gt;N68,N68,K69-L69)</f>
        <v>8741.0069365674681</v>
      </c>
      <c r="N69" s="51">
        <f t="shared" si="9"/>
        <v>2069839.916672546</v>
      </c>
      <c r="P69" s="51">
        <f t="shared" si="10"/>
        <v>1717.6731370756679</v>
      </c>
      <c r="Q69" s="63">
        <f>-PV(BondCalculator!$B$9/12,B69,0,1,0)</f>
        <v>0.71951511895920806</v>
      </c>
      <c r="S69" s="64">
        <f t="shared" si="11"/>
        <v>1235.8917915560353</v>
      </c>
    </row>
    <row r="70" spans="1:19" ht="16.05" customHeight="1" x14ac:dyDescent="0.25">
      <c r="A70" s="61" t="s">
        <v>99</v>
      </c>
      <c r="B70" s="72">
        <v>67</v>
      </c>
      <c r="C70" s="12">
        <f t="shared" ref="C70:C133" si="17">G69</f>
        <v>2252793.0475914306</v>
      </c>
      <c r="D70" s="12">
        <f>IF(G69=0,0,IF(G69&lt;BondCalculator!$B$12,G69+E70,BondCalculator!$B$12))</f>
        <v>26660.740787821473</v>
      </c>
      <c r="E70" s="12">
        <f>C70*BondCalculator!$B$5/12</f>
        <v>21589.266706084545</v>
      </c>
      <c r="F70" s="12">
        <f t="shared" si="12"/>
        <v>5071.4740817369275</v>
      </c>
      <c r="G70" s="12">
        <f t="shared" si="13"/>
        <v>2247721.5735096936</v>
      </c>
      <c r="H70" s="22">
        <f t="shared" si="14"/>
        <v>0.89908862940387746</v>
      </c>
      <c r="J70" s="51">
        <f t="shared" si="15"/>
        <v>2069839.916672546</v>
      </c>
      <c r="K70" s="51">
        <f>IF(N69=0,0,IF(N69&lt;BondCalculator!$B$12+BondCalculator!$B$7,N69+L70,BondCalculator!$B$12+BondCalculator!$B$7))</f>
        <v>28660.740787821473</v>
      </c>
      <c r="L70" s="51">
        <f>J70*BondCalculator!$B$5/12</f>
        <v>19835.9658681119</v>
      </c>
      <c r="M70" s="51">
        <f t="shared" si="16"/>
        <v>8824.7749197095727</v>
      </c>
      <c r="N70" s="51">
        <f t="shared" si="9"/>
        <v>2061015.1417528363</v>
      </c>
      <c r="P70" s="51">
        <f t="shared" si="10"/>
        <v>1753.3008379726452</v>
      </c>
      <c r="Q70" s="63">
        <f>-PV(BondCalculator!$B$9/12,B70,0,1,0)</f>
        <v>0.71593544175045576</v>
      </c>
      <c r="S70" s="64">
        <f t="shared" si="11"/>
        <v>1255.2502099553901</v>
      </c>
    </row>
    <row r="71" spans="1:19" ht="16.05" customHeight="1" x14ac:dyDescent="0.25">
      <c r="A71" s="61" t="s">
        <v>99</v>
      </c>
      <c r="B71" s="72">
        <v>68</v>
      </c>
      <c r="C71" s="12">
        <f t="shared" si="17"/>
        <v>2247721.5735096936</v>
      </c>
      <c r="D71" s="12">
        <f>IF(G70=0,0,IF(G70&lt;BondCalculator!$B$12,G70+E71,BondCalculator!$B$12))</f>
        <v>26660.740787821473</v>
      </c>
      <c r="E71" s="12">
        <f>C71*BondCalculator!$B$5/12</f>
        <v>21540.665079467897</v>
      </c>
      <c r="F71" s="12">
        <f t="shared" si="12"/>
        <v>5120.0757083535755</v>
      </c>
      <c r="G71" s="12">
        <f t="shared" si="13"/>
        <v>2242601.4978013402</v>
      </c>
      <c r="H71" s="22">
        <f t="shared" si="14"/>
        <v>0.89704059912053602</v>
      </c>
      <c r="J71" s="51">
        <f t="shared" si="15"/>
        <v>2061015.1417528363</v>
      </c>
      <c r="K71" s="51">
        <f>IF(N70=0,0,IF(N70&lt;BondCalculator!$B$12+BondCalculator!$B$7,N70+L71,BondCalculator!$B$12+BondCalculator!$B$7))</f>
        <v>28660.740787821473</v>
      </c>
      <c r="L71" s="51">
        <f>J71*BondCalculator!$B$5/12</f>
        <v>19751.39510846468</v>
      </c>
      <c r="M71" s="51">
        <f t="shared" si="16"/>
        <v>8909.345679356793</v>
      </c>
      <c r="N71" s="51">
        <f t="shared" si="9"/>
        <v>2052105.7960734796</v>
      </c>
      <c r="P71" s="51">
        <f t="shared" si="10"/>
        <v>1789.2699710032175</v>
      </c>
      <c r="Q71" s="63">
        <f>-PV(BondCalculator!$B$9/12,B71,0,1,0)</f>
        <v>0.71237357388105071</v>
      </c>
      <c r="S71" s="64">
        <f t="shared" si="11"/>
        <v>1274.628643881606</v>
      </c>
    </row>
    <row r="72" spans="1:19" ht="16.05" customHeight="1" x14ac:dyDescent="0.25">
      <c r="A72" s="61" t="s">
        <v>99</v>
      </c>
      <c r="B72" s="72">
        <v>69</v>
      </c>
      <c r="C72" s="12">
        <f t="shared" si="17"/>
        <v>2242601.4978013402</v>
      </c>
      <c r="D72" s="12">
        <f>IF(G71=0,0,IF(G71&lt;BondCalculator!$B$12,G71+E72,BondCalculator!$B$12))</f>
        <v>26660.740787821473</v>
      </c>
      <c r="E72" s="12">
        <f>C72*BondCalculator!$B$5/12</f>
        <v>21491.597687262845</v>
      </c>
      <c r="F72" s="12">
        <f t="shared" si="12"/>
        <v>5169.1431005586273</v>
      </c>
      <c r="G72" s="12">
        <f t="shared" si="13"/>
        <v>2237432.3547007814</v>
      </c>
      <c r="H72" s="22">
        <f t="shared" si="14"/>
        <v>0.89497294188031251</v>
      </c>
      <c r="J72" s="51">
        <f t="shared" si="15"/>
        <v>2052105.7960734796</v>
      </c>
      <c r="K72" s="51">
        <f>IF(N71=0,0,IF(N71&lt;BondCalculator!$B$12+BondCalculator!$B$7,N71+L72,BondCalculator!$B$12+BondCalculator!$B$7))</f>
        <v>28660.740787821473</v>
      </c>
      <c r="L72" s="51">
        <f>J72*BondCalculator!$B$5/12</f>
        <v>19666.013879037513</v>
      </c>
      <c r="M72" s="51">
        <f t="shared" si="16"/>
        <v>8994.7269087839595</v>
      </c>
      <c r="N72" s="51">
        <f t="shared" si="9"/>
        <v>2043111.0691646957</v>
      </c>
      <c r="P72" s="51">
        <f t="shared" si="10"/>
        <v>1825.5838082253322</v>
      </c>
      <c r="Q72" s="63">
        <f>-PV(BondCalculator!$B$9/12,B72,0,1,0)</f>
        <v>0.70882942674731431</v>
      </c>
      <c r="S72" s="64">
        <f t="shared" si="11"/>
        <v>1294.0275242635412</v>
      </c>
    </row>
    <row r="73" spans="1:19" ht="16.05" customHeight="1" x14ac:dyDescent="0.25">
      <c r="A73" s="61" t="s">
        <v>99</v>
      </c>
      <c r="B73" s="72">
        <v>70</v>
      </c>
      <c r="C73" s="12">
        <f t="shared" si="17"/>
        <v>2237432.3547007814</v>
      </c>
      <c r="D73" s="12">
        <f>IF(G72=0,0,IF(G72&lt;BondCalculator!$B$12,G72+E73,BondCalculator!$B$12))</f>
        <v>26660.740787821473</v>
      </c>
      <c r="E73" s="12">
        <f>C73*BondCalculator!$B$5/12</f>
        <v>21442.060065882488</v>
      </c>
      <c r="F73" s="12">
        <f t="shared" si="12"/>
        <v>5218.6807219389848</v>
      </c>
      <c r="G73" s="12">
        <f t="shared" si="13"/>
        <v>2232213.6739788423</v>
      </c>
      <c r="H73" s="22">
        <f t="shared" si="14"/>
        <v>0.89288546959153692</v>
      </c>
      <c r="J73" s="51">
        <f t="shared" si="15"/>
        <v>2043111.0691646957</v>
      </c>
      <c r="K73" s="51">
        <f>IF(N72=0,0,IF(N72&lt;BondCalculator!$B$12+BondCalculator!$B$7,N72+L73,BondCalculator!$B$12+BondCalculator!$B$7))</f>
        <v>28660.740787821473</v>
      </c>
      <c r="L73" s="51">
        <f>J73*BondCalculator!$B$5/12</f>
        <v>19579.814412828335</v>
      </c>
      <c r="M73" s="51">
        <f t="shared" si="16"/>
        <v>9080.9263749931379</v>
      </c>
      <c r="N73" s="51">
        <f t="shared" si="9"/>
        <v>2034030.1427897026</v>
      </c>
      <c r="P73" s="51">
        <f t="shared" si="10"/>
        <v>1862.2456530541531</v>
      </c>
      <c r="Q73" s="63">
        <f>-PV(BondCalculator!$B$9/12,B73,0,1,0)</f>
        <v>0.70530291218638252</v>
      </c>
      <c r="S73" s="64">
        <f t="shared" si="11"/>
        <v>1313.447282305526</v>
      </c>
    </row>
    <row r="74" spans="1:19" ht="16.05" customHeight="1" x14ac:dyDescent="0.25">
      <c r="A74" s="61" t="s">
        <v>99</v>
      </c>
      <c r="B74" s="72">
        <v>71</v>
      </c>
      <c r="C74" s="12">
        <f t="shared" si="17"/>
        <v>2232213.6739788423</v>
      </c>
      <c r="D74" s="12">
        <f>IF(G73=0,0,IF(G73&lt;BondCalculator!$B$12,G73+E74,BondCalculator!$B$12))</f>
        <v>26660.740787821473</v>
      </c>
      <c r="E74" s="12">
        <f>C74*BondCalculator!$B$5/12</f>
        <v>21392.047708963906</v>
      </c>
      <c r="F74" s="12">
        <f t="shared" si="12"/>
        <v>5268.6930788575664</v>
      </c>
      <c r="G74" s="12">
        <f t="shared" si="13"/>
        <v>2226944.9808999849</v>
      </c>
      <c r="H74" s="22">
        <f t="shared" si="14"/>
        <v>0.890777992359994</v>
      </c>
      <c r="J74" s="51">
        <f t="shared" si="15"/>
        <v>2034030.1427897026</v>
      </c>
      <c r="K74" s="51">
        <f>IF(N73=0,0,IF(N73&lt;BondCalculator!$B$12+BondCalculator!$B$7,N73+L74,BondCalculator!$B$12+BondCalculator!$B$7))</f>
        <v>28660.740787821473</v>
      </c>
      <c r="L74" s="51">
        <f>J74*BondCalculator!$B$5/12</f>
        <v>19492.78886840132</v>
      </c>
      <c r="M74" s="51">
        <f t="shared" si="16"/>
        <v>9167.951919420153</v>
      </c>
      <c r="N74" s="51">
        <f t="shared" si="9"/>
        <v>2024862.1908702825</v>
      </c>
      <c r="P74" s="51">
        <f t="shared" si="10"/>
        <v>1899.2588405625866</v>
      </c>
      <c r="Q74" s="63">
        <f>-PV(BondCalculator!$B$9/12,B74,0,1,0)</f>
        <v>0.7017939424740125</v>
      </c>
      <c r="S74" s="64">
        <f t="shared" si="11"/>
        <v>1332.8883494970396</v>
      </c>
    </row>
    <row r="75" spans="1:19" ht="16.05" customHeight="1" x14ac:dyDescent="0.25">
      <c r="A75" s="61" t="s">
        <v>99</v>
      </c>
      <c r="B75" s="72">
        <v>72</v>
      </c>
      <c r="C75" s="12">
        <f t="shared" si="17"/>
        <v>2226944.9808999849</v>
      </c>
      <c r="D75" s="12">
        <f>IF(G74=0,0,IF(G74&lt;BondCalculator!$B$12,G74+E75,BondCalculator!$B$12))</f>
        <v>26660.740787821473</v>
      </c>
      <c r="E75" s="12">
        <f>C75*BondCalculator!$B$5/12</f>
        <v>21341.55606695819</v>
      </c>
      <c r="F75" s="12">
        <f t="shared" si="12"/>
        <v>5319.1847208632826</v>
      </c>
      <c r="G75" s="12">
        <f t="shared" si="13"/>
        <v>2221625.7961791218</v>
      </c>
      <c r="H75" s="22">
        <f t="shared" si="14"/>
        <v>0.88865031847164877</v>
      </c>
      <c r="J75" s="51">
        <f t="shared" si="15"/>
        <v>2024862.1908702825</v>
      </c>
      <c r="K75" s="51">
        <f>IF(N74=0,0,IF(N74&lt;BondCalculator!$B$12+BondCalculator!$B$7,N74+L75,BondCalculator!$B$12+BondCalculator!$B$7))</f>
        <v>28660.740787821473</v>
      </c>
      <c r="L75" s="51">
        <f>J75*BondCalculator!$B$5/12</f>
        <v>19404.929329173541</v>
      </c>
      <c r="M75" s="51">
        <f t="shared" si="16"/>
        <v>9255.8114586479314</v>
      </c>
      <c r="N75" s="51">
        <f t="shared" si="9"/>
        <v>2015606.3794116345</v>
      </c>
      <c r="P75" s="51">
        <f t="shared" si="10"/>
        <v>1936.6267377846489</v>
      </c>
      <c r="Q75" s="63">
        <f>-PV(BondCalculator!$B$9/12,B75,0,1,0)</f>
        <v>0.69830243032240058</v>
      </c>
      <c r="S75" s="64">
        <f t="shared" si="11"/>
        <v>1352.3511576223627</v>
      </c>
    </row>
    <row r="76" spans="1:19" ht="16.05" customHeight="1" x14ac:dyDescent="0.25">
      <c r="A76" s="61" t="s">
        <v>100</v>
      </c>
      <c r="B76" s="72">
        <v>73</v>
      </c>
      <c r="C76" s="12">
        <f t="shared" si="17"/>
        <v>2221625.7961791218</v>
      </c>
      <c r="D76" s="12">
        <f>IF(G75=0,0,IF(G75&lt;BondCalculator!$B$12,G75+E76,BondCalculator!$B$12))</f>
        <v>26660.740787821473</v>
      </c>
      <c r="E76" s="12">
        <f>C76*BondCalculator!$B$5/12</f>
        <v>21290.580546716585</v>
      </c>
      <c r="F76" s="12">
        <f t="shared" si="12"/>
        <v>5370.160241104888</v>
      </c>
      <c r="G76" s="12">
        <f t="shared" si="13"/>
        <v>2216255.6359380172</v>
      </c>
      <c r="H76" s="22">
        <f t="shared" si="14"/>
        <v>0.88650225437520691</v>
      </c>
      <c r="J76" s="51">
        <f t="shared" si="15"/>
        <v>2015606.3794116345</v>
      </c>
      <c r="K76" s="51">
        <f>IF(N75=0,0,IF(N75&lt;BondCalculator!$B$12+BondCalculator!$B$7,N75+L76,BondCalculator!$B$12+BondCalculator!$B$7))</f>
        <v>28660.740787821473</v>
      </c>
      <c r="L76" s="51">
        <f>J76*BondCalculator!$B$5/12</f>
        <v>19316.22780269483</v>
      </c>
      <c r="M76" s="51">
        <f t="shared" si="16"/>
        <v>9344.5129851266429</v>
      </c>
      <c r="N76" s="51">
        <f t="shared" si="9"/>
        <v>2006261.8664265079</v>
      </c>
      <c r="P76" s="51">
        <f t="shared" si="10"/>
        <v>1974.3527440217549</v>
      </c>
      <c r="Q76" s="63">
        <f>-PV(BondCalculator!$B$9/12,B76,0,1,0)</f>
        <v>0.69482828887801051</v>
      </c>
      <c r="S76" s="64">
        <f t="shared" si="11"/>
        <v>1371.8361387702407</v>
      </c>
    </row>
    <row r="77" spans="1:19" ht="16.05" customHeight="1" x14ac:dyDescent="0.25">
      <c r="A77" s="61" t="s">
        <v>100</v>
      </c>
      <c r="B77" s="72">
        <v>74</v>
      </c>
      <c r="C77" s="12">
        <f t="shared" si="17"/>
        <v>2216255.6359380172</v>
      </c>
      <c r="D77" s="12">
        <f>IF(G76=0,0,IF(G76&lt;BondCalculator!$B$12,G76+E77,BondCalculator!$B$12))</f>
        <v>26660.740787821473</v>
      </c>
      <c r="E77" s="12">
        <f>C77*BondCalculator!$B$5/12</f>
        <v>21239.116511072665</v>
      </c>
      <c r="F77" s="12">
        <f t="shared" si="12"/>
        <v>5421.6242767488075</v>
      </c>
      <c r="G77" s="12">
        <f t="shared" si="13"/>
        <v>2210834.0116612683</v>
      </c>
      <c r="H77" s="22">
        <f t="shared" si="14"/>
        <v>0.88433360466450728</v>
      </c>
      <c r="J77" s="51">
        <f t="shared" si="15"/>
        <v>2006261.8664265079</v>
      </c>
      <c r="K77" s="51">
        <f>IF(N76=0,0,IF(N76&lt;BondCalculator!$B$12+BondCalculator!$B$7,N76+L77,BondCalculator!$B$12+BondCalculator!$B$7))</f>
        <v>28660.740787821473</v>
      </c>
      <c r="L77" s="51">
        <f>J77*BondCalculator!$B$5/12</f>
        <v>19226.676219920704</v>
      </c>
      <c r="M77" s="51">
        <f t="shared" si="16"/>
        <v>9434.0645679007685</v>
      </c>
      <c r="N77" s="51">
        <f t="shared" si="9"/>
        <v>1996827.8018586072</v>
      </c>
      <c r="P77" s="51">
        <f t="shared" si="10"/>
        <v>2012.440291151961</v>
      </c>
      <c r="Q77" s="63">
        <f>-PV(BondCalculator!$B$9/12,B77,0,1,0)</f>
        <v>0.69137143171941362</v>
      </c>
      <c r="S77" s="64">
        <f t="shared" si="11"/>
        <v>1391.3437253435648</v>
      </c>
    </row>
    <row r="78" spans="1:19" ht="16.05" customHeight="1" x14ac:dyDescent="0.25">
      <c r="A78" s="61" t="s">
        <v>100</v>
      </c>
      <c r="B78" s="72">
        <v>75</v>
      </c>
      <c r="C78" s="12">
        <f t="shared" si="17"/>
        <v>2210834.0116612683</v>
      </c>
      <c r="D78" s="12">
        <f>IF(G77=0,0,IF(G77&lt;BondCalculator!$B$12,G77+E78,BondCalculator!$B$12))</f>
        <v>26660.740787821473</v>
      </c>
      <c r="E78" s="12">
        <f>C78*BondCalculator!$B$5/12</f>
        <v>21187.159278420488</v>
      </c>
      <c r="F78" s="12">
        <f t="shared" si="12"/>
        <v>5473.5815094009849</v>
      </c>
      <c r="G78" s="12">
        <f t="shared" si="13"/>
        <v>2205360.4301518672</v>
      </c>
      <c r="H78" s="22">
        <f t="shared" si="14"/>
        <v>0.88214417206074691</v>
      </c>
      <c r="J78" s="51">
        <f t="shared" si="15"/>
        <v>1996827.8018586072</v>
      </c>
      <c r="K78" s="51">
        <f>IF(N77=0,0,IF(N77&lt;BondCalculator!$B$12+BondCalculator!$B$7,N77+L78,BondCalculator!$B$12+BondCalculator!$B$7))</f>
        <v>28660.740787821473</v>
      </c>
      <c r="L78" s="51">
        <f>J78*BondCalculator!$B$5/12</f>
        <v>19136.266434478319</v>
      </c>
      <c r="M78" s="51">
        <f t="shared" si="16"/>
        <v>9524.4743533431538</v>
      </c>
      <c r="N78" s="51">
        <f t="shared" si="9"/>
        <v>1987303.327505264</v>
      </c>
      <c r="P78" s="51">
        <f t="shared" si="10"/>
        <v>2050.8928439421688</v>
      </c>
      <c r="Q78" s="63">
        <f>-PV(BondCalculator!$B$9/12,B78,0,1,0)</f>
        <v>0.68793177285513807</v>
      </c>
      <c r="S78" s="64">
        <f t="shared" si="11"/>
        <v>1410.8743500690523</v>
      </c>
    </row>
    <row r="79" spans="1:19" ht="16.05" customHeight="1" x14ac:dyDescent="0.25">
      <c r="A79" s="61" t="s">
        <v>100</v>
      </c>
      <c r="B79" s="72">
        <v>76</v>
      </c>
      <c r="C79" s="12">
        <f t="shared" si="17"/>
        <v>2205360.4301518672</v>
      </c>
      <c r="D79" s="12">
        <f>IF(G78=0,0,IF(G78&lt;BondCalculator!$B$12,G78+E79,BondCalculator!$B$12))</f>
        <v>26660.740787821473</v>
      </c>
      <c r="E79" s="12">
        <f>C79*BondCalculator!$B$5/12</f>
        <v>21134.704122288727</v>
      </c>
      <c r="F79" s="12">
        <f t="shared" si="12"/>
        <v>5526.0366655327452</v>
      </c>
      <c r="G79" s="12">
        <f t="shared" si="13"/>
        <v>2199834.3934863345</v>
      </c>
      <c r="H79" s="22">
        <f t="shared" si="14"/>
        <v>0.87993375739453383</v>
      </c>
      <c r="J79" s="51">
        <f t="shared" si="15"/>
        <v>1987303.327505264</v>
      </c>
      <c r="K79" s="51">
        <f>IF(N78=0,0,IF(N78&lt;BondCalculator!$B$12+BondCalculator!$B$7,N78+L79,BondCalculator!$B$12+BondCalculator!$B$7))</f>
        <v>28660.740787821473</v>
      </c>
      <c r="L79" s="51">
        <f>J79*BondCalculator!$B$5/12</f>
        <v>19044.990221925447</v>
      </c>
      <c r="M79" s="51">
        <f t="shared" si="16"/>
        <v>9615.7505658960254</v>
      </c>
      <c r="N79" s="51">
        <f t="shared" si="9"/>
        <v>1977687.5769393679</v>
      </c>
      <c r="P79" s="51">
        <f t="shared" si="10"/>
        <v>2089.7139003632801</v>
      </c>
      <c r="Q79" s="63">
        <f>-PV(BondCalculator!$B$9/12,B79,0,1,0)</f>
        <v>0.68450922672153058</v>
      </c>
      <c r="S79" s="64">
        <f t="shared" si="11"/>
        <v>1430.4284460069025</v>
      </c>
    </row>
    <row r="80" spans="1:19" ht="16.05" customHeight="1" x14ac:dyDescent="0.25">
      <c r="A80" s="61" t="s">
        <v>100</v>
      </c>
      <c r="B80" s="72">
        <v>77</v>
      </c>
      <c r="C80" s="12">
        <f t="shared" si="17"/>
        <v>2199834.3934863345</v>
      </c>
      <c r="D80" s="12">
        <f>IF(G79=0,0,IF(G79&lt;BondCalculator!$B$12,G79+E80,BondCalculator!$B$12))</f>
        <v>26660.740787821473</v>
      </c>
      <c r="E80" s="12">
        <f>C80*BondCalculator!$B$5/12</f>
        <v>21081.746270910706</v>
      </c>
      <c r="F80" s="12">
        <f t="shared" si="12"/>
        <v>5578.9945169107668</v>
      </c>
      <c r="G80" s="12">
        <f t="shared" si="13"/>
        <v>2194255.3989694235</v>
      </c>
      <c r="H80" s="22">
        <f t="shared" si="14"/>
        <v>0.87770215958776943</v>
      </c>
      <c r="J80" s="51">
        <f t="shared" si="15"/>
        <v>1977687.5769393679</v>
      </c>
      <c r="K80" s="51">
        <f>IF(N79=0,0,IF(N79&lt;BondCalculator!$B$12+BondCalculator!$B$7,N79+L80,BondCalculator!$B$12+BondCalculator!$B$7))</f>
        <v>28660.740787821473</v>
      </c>
      <c r="L80" s="51">
        <f>J80*BondCalculator!$B$5/12</f>
        <v>18952.839279002277</v>
      </c>
      <c r="M80" s="51">
        <f t="shared" si="16"/>
        <v>9707.9015088191954</v>
      </c>
      <c r="N80" s="51">
        <f t="shared" si="9"/>
        <v>1967979.6754305488</v>
      </c>
      <c r="P80" s="51">
        <f t="shared" si="10"/>
        <v>2128.9069919084286</v>
      </c>
      <c r="Q80" s="63">
        <f>-PV(BondCalculator!$B$9/12,B80,0,1,0)</f>
        <v>0.68110370818062749</v>
      </c>
      <c r="S80" s="64">
        <f t="shared" si="11"/>
        <v>1450.0064465604958</v>
      </c>
    </row>
    <row r="81" spans="1:19" ht="16.05" customHeight="1" x14ac:dyDescent="0.25">
      <c r="A81" s="61" t="s">
        <v>100</v>
      </c>
      <c r="B81" s="72">
        <v>78</v>
      </c>
      <c r="C81" s="12">
        <f t="shared" si="17"/>
        <v>2194255.3989694235</v>
      </c>
      <c r="D81" s="12">
        <f>IF(G80=0,0,IF(G80&lt;BondCalculator!$B$12,G80+E81,BondCalculator!$B$12))</f>
        <v>26660.740787821473</v>
      </c>
      <c r="E81" s="12">
        <f>C81*BondCalculator!$B$5/12</f>
        <v>21028.280906790311</v>
      </c>
      <c r="F81" s="12">
        <f t="shared" si="12"/>
        <v>5632.4598810311618</v>
      </c>
      <c r="G81" s="12">
        <f t="shared" si="13"/>
        <v>2188622.9390883925</v>
      </c>
      <c r="H81" s="22">
        <f t="shared" si="14"/>
        <v>0.87544917563535707</v>
      </c>
      <c r="J81" s="51">
        <f t="shared" si="15"/>
        <v>1967979.6754305488</v>
      </c>
      <c r="K81" s="51">
        <f>IF(N80=0,0,IF(N80&lt;BondCalculator!$B$12+BondCalculator!$B$7,N80+L81,BondCalculator!$B$12+BondCalculator!$B$7))</f>
        <v>28660.740787821473</v>
      </c>
      <c r="L81" s="51">
        <f>J81*BondCalculator!$B$5/12</f>
        <v>18859.805222876093</v>
      </c>
      <c r="M81" s="51">
        <f t="shared" si="16"/>
        <v>9800.9355649453792</v>
      </c>
      <c r="N81" s="51">
        <f t="shared" si="9"/>
        <v>1958178.7398656034</v>
      </c>
      <c r="P81" s="51">
        <f t="shared" si="10"/>
        <v>2168.4756839142174</v>
      </c>
      <c r="Q81" s="63">
        <f>-PV(BondCalculator!$B$9/12,B81,0,1,0)</f>
        <v>0.6777151325180375</v>
      </c>
      <c r="S81" s="64">
        <f t="shared" si="11"/>
        <v>1469.6087854860659</v>
      </c>
    </row>
    <row r="82" spans="1:19" ht="16.05" customHeight="1" x14ac:dyDescent="0.25">
      <c r="A82" s="61" t="s">
        <v>100</v>
      </c>
      <c r="B82" s="72">
        <v>79</v>
      </c>
      <c r="C82" s="12">
        <f t="shared" si="17"/>
        <v>2188622.9390883925</v>
      </c>
      <c r="D82" s="12">
        <f>IF(G81=0,0,IF(G81&lt;BondCalculator!$B$12,G81+E82,BondCalculator!$B$12))</f>
        <v>26660.740787821473</v>
      </c>
      <c r="E82" s="12">
        <f>C82*BondCalculator!$B$5/12</f>
        <v>20974.303166263762</v>
      </c>
      <c r="F82" s="12">
        <f t="shared" si="12"/>
        <v>5686.4376215577104</v>
      </c>
      <c r="G82" s="12">
        <f t="shared" si="13"/>
        <v>2182936.5014668349</v>
      </c>
      <c r="H82" s="22">
        <f t="shared" si="14"/>
        <v>0.87317460058673402</v>
      </c>
      <c r="J82" s="51">
        <f t="shared" si="15"/>
        <v>1958178.7398656034</v>
      </c>
      <c r="K82" s="51">
        <f>IF(N81=0,0,IF(N81&lt;BondCalculator!$B$12+BondCalculator!$B$7,N81+L82,BondCalculator!$B$12+BondCalculator!$B$7))</f>
        <v>28660.740787821473</v>
      </c>
      <c r="L82" s="51">
        <f>J82*BondCalculator!$B$5/12</f>
        <v>18765.8795903787</v>
      </c>
      <c r="M82" s="51">
        <f t="shared" si="16"/>
        <v>9894.8611974427731</v>
      </c>
      <c r="N82" s="51">
        <f t="shared" si="9"/>
        <v>1948283.8786681606</v>
      </c>
      <c r="P82" s="51">
        <f t="shared" si="10"/>
        <v>2208.4235758850627</v>
      </c>
      <c r="Q82" s="63">
        <f>-PV(BondCalculator!$B$9/12,B82,0,1,0)</f>
        <v>0.67434341544083343</v>
      </c>
      <c r="S82" s="64">
        <f t="shared" si="11"/>
        <v>1489.2358969023917</v>
      </c>
    </row>
    <row r="83" spans="1:19" ht="16.05" customHeight="1" x14ac:dyDescent="0.25">
      <c r="A83" s="61" t="s">
        <v>100</v>
      </c>
      <c r="B83" s="72">
        <v>80</v>
      </c>
      <c r="C83" s="12">
        <f t="shared" si="17"/>
        <v>2182936.5014668349</v>
      </c>
      <c r="D83" s="12">
        <f>IF(G82=0,0,IF(G82&lt;BondCalculator!$B$12,G82+E83,BondCalculator!$B$12))</f>
        <v>26660.740787821473</v>
      </c>
      <c r="E83" s="12">
        <f>C83*BondCalculator!$B$5/12</f>
        <v>20919.808139057168</v>
      </c>
      <c r="F83" s="12">
        <f t="shared" si="12"/>
        <v>5740.9326487643048</v>
      </c>
      <c r="G83" s="12">
        <f t="shared" si="13"/>
        <v>2177195.5688180705</v>
      </c>
      <c r="H83" s="22">
        <f t="shared" si="14"/>
        <v>0.87087822752722821</v>
      </c>
      <c r="J83" s="51">
        <f t="shared" si="15"/>
        <v>1948283.8786681606</v>
      </c>
      <c r="K83" s="51">
        <f>IF(N82=0,0,IF(N82&lt;BondCalculator!$B$12+BondCalculator!$B$7,N82+L83,BondCalculator!$B$12+BondCalculator!$B$7))</f>
        <v>28660.740787821473</v>
      </c>
      <c r="L83" s="51">
        <f>J83*BondCalculator!$B$5/12</f>
        <v>18671.053837236541</v>
      </c>
      <c r="M83" s="51">
        <f t="shared" si="16"/>
        <v>9989.6869505849318</v>
      </c>
      <c r="N83" s="51">
        <f t="shared" si="9"/>
        <v>1938294.1917175758</v>
      </c>
      <c r="P83" s="51">
        <f t="shared" si="10"/>
        <v>2248.754301820627</v>
      </c>
      <c r="Q83" s="63">
        <f>-PV(BondCalculator!$B$9/12,B83,0,1,0)</f>
        <v>0.67098847307545617</v>
      </c>
      <c r="S83" s="64">
        <f t="shared" si="11"/>
        <v>1508.8882153004861</v>
      </c>
    </row>
    <row r="84" spans="1:19" ht="16.05" customHeight="1" x14ac:dyDescent="0.25">
      <c r="A84" s="61" t="s">
        <v>100</v>
      </c>
      <c r="B84" s="72">
        <v>81</v>
      </c>
      <c r="C84" s="12">
        <f t="shared" si="17"/>
        <v>2177195.5688180705</v>
      </c>
      <c r="D84" s="12">
        <f>IF(G83=0,0,IF(G83&lt;BondCalculator!$B$12,G83+E84,BondCalculator!$B$12))</f>
        <v>26660.740787821473</v>
      </c>
      <c r="E84" s="12">
        <f>C84*BondCalculator!$B$5/12</f>
        <v>20864.790867839842</v>
      </c>
      <c r="F84" s="12">
        <f t="shared" si="12"/>
        <v>5795.949919981631</v>
      </c>
      <c r="G84" s="12">
        <f t="shared" si="13"/>
        <v>2171399.618898089</v>
      </c>
      <c r="H84" s="22">
        <f t="shared" si="14"/>
        <v>0.86855984755923565</v>
      </c>
      <c r="J84" s="51">
        <f t="shared" si="15"/>
        <v>1938294.1917175758</v>
      </c>
      <c r="K84" s="51">
        <f>IF(N83=0,0,IF(N83&lt;BondCalculator!$B$12+BondCalculator!$B$7,N83+L84,BondCalculator!$B$12+BondCalculator!$B$7))</f>
        <v>28660.740787821473</v>
      </c>
      <c r="L84" s="51">
        <f>J84*BondCalculator!$B$5/12</f>
        <v>18575.319337293437</v>
      </c>
      <c r="M84" s="51">
        <f t="shared" si="16"/>
        <v>10085.421450528036</v>
      </c>
      <c r="N84" s="51">
        <f t="shared" si="9"/>
        <v>1928208.7702670477</v>
      </c>
      <c r="P84" s="51">
        <f t="shared" si="10"/>
        <v>2289.4715305464051</v>
      </c>
      <c r="Q84" s="63">
        <f>-PV(BondCalculator!$B$9/12,B84,0,1,0)</f>
        <v>0.66765022196562807</v>
      </c>
      <c r="S84" s="64">
        <f t="shared" si="11"/>
        <v>1528.5661755532935</v>
      </c>
    </row>
    <row r="85" spans="1:19" ht="16.05" customHeight="1" x14ac:dyDescent="0.25">
      <c r="A85" s="61" t="s">
        <v>100</v>
      </c>
      <c r="B85" s="72">
        <v>82</v>
      </c>
      <c r="C85" s="12">
        <f t="shared" si="17"/>
        <v>2171399.618898089</v>
      </c>
      <c r="D85" s="12">
        <f>IF(G84=0,0,IF(G84&lt;BondCalculator!$B$12,G84+E85,BondCalculator!$B$12))</f>
        <v>26660.740787821473</v>
      </c>
      <c r="E85" s="12">
        <f>C85*BondCalculator!$B$5/12</f>
        <v>20809.246347773355</v>
      </c>
      <c r="F85" s="12">
        <f t="shared" si="12"/>
        <v>5851.4944400481181</v>
      </c>
      <c r="G85" s="12">
        <f t="shared" si="13"/>
        <v>2165548.124458041</v>
      </c>
      <c r="H85" s="22">
        <f t="shared" si="14"/>
        <v>0.86621924978321641</v>
      </c>
      <c r="J85" s="51">
        <f t="shared" si="15"/>
        <v>1928208.7702670477</v>
      </c>
      <c r="K85" s="51">
        <f>IF(N84=0,0,IF(N84&lt;BondCalculator!$B$12+BondCalculator!$B$7,N84+L85,BondCalculator!$B$12+BondCalculator!$B$7))</f>
        <v>28660.740787821473</v>
      </c>
      <c r="L85" s="51">
        <f>J85*BondCalculator!$B$5/12</f>
        <v>18478.667381725874</v>
      </c>
      <c r="M85" s="51">
        <f t="shared" si="16"/>
        <v>10182.073406095598</v>
      </c>
      <c r="N85" s="51">
        <f t="shared" si="9"/>
        <v>1918026.6968609521</v>
      </c>
      <c r="P85" s="51">
        <f t="shared" si="10"/>
        <v>2330.5789660474802</v>
      </c>
      <c r="Q85" s="63">
        <f>-PV(BondCalculator!$B$9/12,B85,0,1,0)</f>
        <v>0.66432857907027687</v>
      </c>
      <c r="S85" s="64">
        <f t="shared" si="11"/>
        <v>1548.2702129253976</v>
      </c>
    </row>
    <row r="86" spans="1:19" ht="16.05" customHeight="1" x14ac:dyDescent="0.25">
      <c r="A86" s="61" t="s">
        <v>100</v>
      </c>
      <c r="B86" s="72">
        <v>83</v>
      </c>
      <c r="C86" s="12">
        <f t="shared" si="17"/>
        <v>2165548.124458041</v>
      </c>
      <c r="D86" s="12">
        <f>IF(G85=0,0,IF(G85&lt;BondCalculator!$B$12,G85+E86,BondCalculator!$B$12))</f>
        <v>26660.740787821473</v>
      </c>
      <c r="E86" s="12">
        <f>C86*BondCalculator!$B$5/12</f>
        <v>20753.169526056226</v>
      </c>
      <c r="F86" s="12">
        <f t="shared" si="12"/>
        <v>5907.5712617652462</v>
      </c>
      <c r="G86" s="12">
        <f t="shared" si="13"/>
        <v>2159640.5531962756</v>
      </c>
      <c r="H86" s="22">
        <f t="shared" si="14"/>
        <v>0.86385622127851025</v>
      </c>
      <c r="J86" s="51">
        <f t="shared" si="15"/>
        <v>1918026.6968609521</v>
      </c>
      <c r="K86" s="51">
        <f>IF(N85=0,0,IF(N85&lt;BondCalculator!$B$12+BondCalculator!$B$7,N85+L86,BondCalculator!$B$12+BondCalculator!$B$7))</f>
        <v>28660.740787821473</v>
      </c>
      <c r="L86" s="51">
        <f>J86*BondCalculator!$B$5/12</f>
        <v>18381.089178250793</v>
      </c>
      <c r="M86" s="51">
        <f t="shared" si="16"/>
        <v>10279.651609570679</v>
      </c>
      <c r="N86" s="51">
        <f t="shared" si="9"/>
        <v>1907747.0452513814</v>
      </c>
      <c r="P86" s="51">
        <f t="shared" si="10"/>
        <v>2372.0803478054331</v>
      </c>
      <c r="Q86" s="63">
        <f>-PV(BondCalculator!$B$9/12,B86,0,1,0)</f>
        <v>0.66102346176146964</v>
      </c>
      <c r="S86" s="64">
        <f t="shared" si="11"/>
        <v>1568.0007630826983</v>
      </c>
    </row>
    <row r="87" spans="1:19" ht="16.05" customHeight="1" x14ac:dyDescent="0.25">
      <c r="A87" s="61" t="s">
        <v>100</v>
      </c>
      <c r="B87" s="72">
        <v>84</v>
      </c>
      <c r="C87" s="12">
        <f t="shared" si="17"/>
        <v>2159640.5531962756</v>
      </c>
      <c r="D87" s="12">
        <f>IF(G86=0,0,IF(G86&lt;BondCalculator!$B$12,G86+E87,BondCalculator!$B$12))</f>
        <v>26660.740787821473</v>
      </c>
      <c r="E87" s="12">
        <f>C87*BondCalculator!$B$5/12</f>
        <v>20696.555301464308</v>
      </c>
      <c r="F87" s="12">
        <f t="shared" si="12"/>
        <v>5964.1854863571643</v>
      </c>
      <c r="G87" s="12">
        <f t="shared" si="13"/>
        <v>2153676.3677099184</v>
      </c>
      <c r="H87" s="22">
        <f t="shared" si="14"/>
        <v>0.86147054708396742</v>
      </c>
      <c r="J87" s="51">
        <f t="shared" si="15"/>
        <v>1907747.0452513814</v>
      </c>
      <c r="K87" s="51">
        <f>IF(N86=0,0,IF(N86&lt;BondCalculator!$B$12+BondCalculator!$B$7,N86+L87,BondCalculator!$B$12+BondCalculator!$B$7))</f>
        <v>28660.740787821473</v>
      </c>
      <c r="L87" s="51">
        <f>J87*BondCalculator!$B$5/12</f>
        <v>18282.575850325738</v>
      </c>
      <c r="M87" s="51">
        <f t="shared" si="16"/>
        <v>10378.164937495734</v>
      </c>
      <c r="N87" s="51">
        <f t="shared" si="9"/>
        <v>1897368.8803138856</v>
      </c>
      <c r="P87" s="51">
        <f t="shared" si="10"/>
        <v>2413.9794511385699</v>
      </c>
      <c r="Q87" s="63">
        <f>-PV(BondCalculator!$B$9/12,B87,0,1,0)</f>
        <v>0.65773478782235784</v>
      </c>
      <c r="S87" s="64">
        <f t="shared" si="11"/>
        <v>1587.7582621021591</v>
      </c>
    </row>
    <row r="88" spans="1:19" ht="16.05" customHeight="1" x14ac:dyDescent="0.25">
      <c r="A88" s="61" t="s">
        <v>101</v>
      </c>
      <c r="B88" s="72">
        <v>85</v>
      </c>
      <c r="C88" s="12">
        <f t="shared" si="17"/>
        <v>2153676.3677099184</v>
      </c>
      <c r="D88" s="12">
        <f>IF(G87=0,0,IF(G87&lt;BondCalculator!$B$12,G87+E88,BondCalculator!$B$12))</f>
        <v>26660.740787821473</v>
      </c>
      <c r="E88" s="12">
        <f>C88*BondCalculator!$B$5/12</f>
        <v>20639.398523886721</v>
      </c>
      <c r="F88" s="12">
        <f t="shared" si="12"/>
        <v>6021.3422639347518</v>
      </c>
      <c r="G88" s="12">
        <f t="shared" si="13"/>
        <v>2147655.0254459837</v>
      </c>
      <c r="H88" s="22">
        <f t="shared" si="14"/>
        <v>0.85906201017839345</v>
      </c>
      <c r="J88" s="51">
        <f t="shared" si="15"/>
        <v>1897368.8803138856</v>
      </c>
      <c r="K88" s="51">
        <f>IF(N87=0,0,IF(N87&lt;BondCalculator!$B$12+BondCalculator!$B$7,N87+L88,BondCalculator!$B$12+BondCalculator!$B$7))</f>
        <v>28660.740787821473</v>
      </c>
      <c r="L88" s="51">
        <f>J88*BondCalculator!$B$5/12</f>
        <v>18183.118436341403</v>
      </c>
      <c r="M88" s="51">
        <f t="shared" si="16"/>
        <v>10477.622351480069</v>
      </c>
      <c r="N88" s="51">
        <f t="shared" si="9"/>
        <v>1886891.2579624054</v>
      </c>
      <c r="P88" s="51">
        <f t="shared" si="10"/>
        <v>2456.2800875453177</v>
      </c>
      <c r="Q88" s="63">
        <f>-PV(BondCalculator!$B$9/12,B88,0,1,0)</f>
        <v>0.65446247544513247</v>
      </c>
      <c r="S88" s="64">
        <f t="shared" si="11"/>
        <v>1607.5431464814953</v>
      </c>
    </row>
    <row r="89" spans="1:19" ht="16.05" customHeight="1" x14ac:dyDescent="0.25">
      <c r="A89" s="61" t="s">
        <v>101</v>
      </c>
      <c r="B89" s="72">
        <v>86</v>
      </c>
      <c r="C89" s="12">
        <f t="shared" si="17"/>
        <v>2147655.0254459837</v>
      </c>
      <c r="D89" s="12">
        <f>IF(G88=0,0,IF(G88&lt;BondCalculator!$B$12,G88+E89,BondCalculator!$B$12))</f>
        <v>26660.740787821473</v>
      </c>
      <c r="E89" s="12">
        <f>C89*BondCalculator!$B$5/12</f>
        <v>20581.693993857345</v>
      </c>
      <c r="F89" s="12">
        <f t="shared" si="12"/>
        <v>6079.0467939641276</v>
      </c>
      <c r="G89" s="12">
        <f t="shared" si="13"/>
        <v>2141575.9786520195</v>
      </c>
      <c r="H89" s="22">
        <f t="shared" si="14"/>
        <v>0.85663039146080777</v>
      </c>
      <c r="J89" s="51">
        <f t="shared" si="15"/>
        <v>1886891.2579624054</v>
      </c>
      <c r="K89" s="51">
        <f>IF(N88=0,0,IF(N88&lt;BondCalculator!$B$12+BondCalculator!$B$7,N88+L89,BondCalculator!$B$12+BondCalculator!$B$7))</f>
        <v>28660.740787821473</v>
      </c>
      <c r="L89" s="51">
        <f>J89*BondCalculator!$B$5/12</f>
        <v>18082.707888806388</v>
      </c>
      <c r="M89" s="51">
        <f t="shared" si="16"/>
        <v>10578.032899015085</v>
      </c>
      <c r="N89" s="51">
        <f t="shared" si="9"/>
        <v>1876313.2250633903</v>
      </c>
      <c r="P89" s="51">
        <f t="shared" si="10"/>
        <v>2498.9861050509571</v>
      </c>
      <c r="Q89" s="63">
        <f>-PV(BondCalculator!$B$9/12,B89,0,1,0)</f>
        <v>0.65120644322898757</v>
      </c>
      <c r="S89" s="64">
        <f t="shared" si="11"/>
        <v>1627.355853148895</v>
      </c>
    </row>
    <row r="90" spans="1:19" ht="16.05" customHeight="1" x14ac:dyDescent="0.25">
      <c r="A90" s="61" t="s">
        <v>101</v>
      </c>
      <c r="B90" s="72">
        <v>87</v>
      </c>
      <c r="C90" s="12">
        <f t="shared" si="17"/>
        <v>2141575.9786520195</v>
      </c>
      <c r="D90" s="12">
        <f>IF(G89=0,0,IF(G89&lt;BondCalculator!$B$12,G89+E90,BondCalculator!$B$12))</f>
        <v>26660.740787821473</v>
      </c>
      <c r="E90" s="12">
        <f>C90*BondCalculator!$B$5/12</f>
        <v>20523.436462081856</v>
      </c>
      <c r="F90" s="12">
        <f t="shared" si="12"/>
        <v>6137.3043257396166</v>
      </c>
      <c r="G90" s="12">
        <f t="shared" si="13"/>
        <v>2135438.6743262801</v>
      </c>
      <c r="H90" s="22">
        <f t="shared" si="14"/>
        <v>0.85417546973051206</v>
      </c>
      <c r="J90" s="51">
        <f t="shared" si="15"/>
        <v>1876313.2250633903</v>
      </c>
      <c r="K90" s="51">
        <f>IF(N89=0,0,IF(N89&lt;BondCalculator!$B$12+BondCalculator!$B$7,N89+L90,BondCalculator!$B$12+BondCalculator!$B$7))</f>
        <v>28660.740787821473</v>
      </c>
      <c r="L90" s="51">
        <f>J90*BondCalculator!$B$5/12</f>
        <v>17981.335073524158</v>
      </c>
      <c r="M90" s="51">
        <f t="shared" si="16"/>
        <v>10679.405714297314</v>
      </c>
      <c r="N90" s="51">
        <f t="shared" si="9"/>
        <v>1865633.8193490931</v>
      </c>
      <c r="P90" s="51">
        <f t="shared" si="10"/>
        <v>2542.1013885576976</v>
      </c>
      <c r="Q90" s="63">
        <f>-PV(BondCalculator!$B$9/12,B90,0,1,0)</f>
        <v>0.64796661017809731</v>
      </c>
      <c r="S90" s="64">
        <f t="shared" si="11"/>
        <v>1647.1968194727656</v>
      </c>
    </row>
    <row r="91" spans="1:19" ht="16.05" customHeight="1" x14ac:dyDescent="0.25">
      <c r="A91" s="61" t="s">
        <v>101</v>
      </c>
      <c r="B91" s="72">
        <v>88</v>
      </c>
      <c r="C91" s="12">
        <f t="shared" si="17"/>
        <v>2135438.6743262801</v>
      </c>
      <c r="D91" s="12">
        <f>IF(G90=0,0,IF(G90&lt;BondCalculator!$B$12,G90+E91,BondCalculator!$B$12))</f>
        <v>26660.740787821473</v>
      </c>
      <c r="E91" s="12">
        <f>C91*BondCalculator!$B$5/12</f>
        <v>20464.620628960187</v>
      </c>
      <c r="F91" s="12">
        <f t="shared" si="12"/>
        <v>6196.1201588612857</v>
      </c>
      <c r="G91" s="12">
        <f t="shared" si="13"/>
        <v>2129242.5541674187</v>
      </c>
      <c r="H91" s="22">
        <f t="shared" si="14"/>
        <v>0.85169702166696748</v>
      </c>
      <c r="J91" s="51">
        <f t="shared" si="15"/>
        <v>1865633.8193490931</v>
      </c>
      <c r="K91" s="51">
        <f>IF(N90=0,0,IF(N90&lt;BondCalculator!$B$12+BondCalculator!$B$7,N90+L91,BondCalculator!$B$12+BondCalculator!$B$7))</f>
        <v>28660.740787821473</v>
      </c>
      <c r="L91" s="51">
        <f>J91*BondCalculator!$B$5/12</f>
        <v>17878.990768762142</v>
      </c>
      <c r="M91" s="51">
        <f t="shared" si="16"/>
        <v>10781.750019059331</v>
      </c>
      <c r="N91" s="51">
        <f t="shared" si="9"/>
        <v>1854852.0693300338</v>
      </c>
      <c r="P91" s="51">
        <f t="shared" si="10"/>
        <v>2585.6298601980452</v>
      </c>
      <c r="Q91" s="63">
        <f>-PV(BondCalculator!$B$9/12,B91,0,1,0)</f>
        <v>0.64474289569959919</v>
      </c>
      <c r="S91" s="64">
        <f t="shared" si="11"/>
        <v>1667.0664832714376</v>
      </c>
    </row>
    <row r="92" spans="1:19" ht="16.05" customHeight="1" x14ac:dyDescent="0.25">
      <c r="A92" s="61" t="s">
        <v>101</v>
      </c>
      <c r="B92" s="72">
        <v>89</v>
      </c>
      <c r="C92" s="12">
        <f t="shared" si="17"/>
        <v>2129242.5541674187</v>
      </c>
      <c r="D92" s="12">
        <f>IF(G91=0,0,IF(G91&lt;BondCalculator!$B$12,G91+E92,BondCalculator!$B$12))</f>
        <v>26660.740787821473</v>
      </c>
      <c r="E92" s="12">
        <f>C92*BondCalculator!$B$5/12</f>
        <v>20405.241144104431</v>
      </c>
      <c r="F92" s="12">
        <f t="shared" si="12"/>
        <v>6255.4996437170412</v>
      </c>
      <c r="G92" s="12">
        <f t="shared" si="13"/>
        <v>2122987.0545237018</v>
      </c>
      <c r="H92" s="22">
        <f t="shared" si="14"/>
        <v>0.84919482180948069</v>
      </c>
      <c r="J92" s="51">
        <f t="shared" si="15"/>
        <v>1854852.0693300338</v>
      </c>
      <c r="K92" s="51">
        <f>IF(N91=0,0,IF(N91&lt;BondCalculator!$B$12+BondCalculator!$B$7,N91+L92,BondCalculator!$B$12+BondCalculator!$B$7))</f>
        <v>28660.740787821473</v>
      </c>
      <c r="L92" s="51">
        <f>J92*BondCalculator!$B$5/12</f>
        <v>17775.665664412827</v>
      </c>
      <c r="M92" s="51">
        <f t="shared" si="16"/>
        <v>10885.075123408646</v>
      </c>
      <c r="N92" s="51">
        <f t="shared" si="9"/>
        <v>1843966.9942066253</v>
      </c>
      <c r="P92" s="51">
        <f t="shared" si="10"/>
        <v>2629.5754796916044</v>
      </c>
      <c r="Q92" s="63">
        <f>-PV(BondCalculator!$B$9/12,B92,0,1,0)</f>
        <v>0.64153521960159132</v>
      </c>
      <c r="S92" s="64">
        <f t="shared" si="11"/>
        <v>1686.9652828229132</v>
      </c>
    </row>
    <row r="93" spans="1:19" ht="16.05" customHeight="1" x14ac:dyDescent="0.25">
      <c r="A93" s="61" t="s">
        <v>101</v>
      </c>
      <c r="B93" s="72">
        <v>90</v>
      </c>
      <c r="C93" s="12">
        <f t="shared" si="17"/>
        <v>2122987.0545237018</v>
      </c>
      <c r="D93" s="12">
        <f>IF(G92=0,0,IF(G92&lt;BondCalculator!$B$12,G92+E93,BondCalculator!$B$12))</f>
        <v>26660.740787821473</v>
      </c>
      <c r="E93" s="12">
        <f>C93*BondCalculator!$B$5/12</f>
        <v>20345.292605852144</v>
      </c>
      <c r="F93" s="12">
        <f t="shared" si="12"/>
        <v>6315.4481819693283</v>
      </c>
      <c r="G93" s="12">
        <f t="shared" si="13"/>
        <v>2116671.6063417327</v>
      </c>
      <c r="H93" s="22">
        <f t="shared" si="14"/>
        <v>0.84666864253669305</v>
      </c>
      <c r="J93" s="51">
        <f t="shared" si="15"/>
        <v>1843966.9942066253</v>
      </c>
      <c r="K93" s="51">
        <f>IF(N92=0,0,IF(N92&lt;BondCalculator!$B$12+BondCalculator!$B$7,N92+L93,BondCalculator!$B$12+BondCalculator!$B$7))</f>
        <v>28660.740787821473</v>
      </c>
      <c r="L93" s="51">
        <f>J93*BondCalculator!$B$5/12</f>
        <v>17671.350361146826</v>
      </c>
      <c r="M93" s="51">
        <f t="shared" si="16"/>
        <v>10989.390426674647</v>
      </c>
      <c r="N93" s="51">
        <f t="shared" si="9"/>
        <v>1832977.6037799506</v>
      </c>
      <c r="P93" s="51">
        <f t="shared" si="10"/>
        <v>2673.9422447053184</v>
      </c>
      <c r="Q93" s="63">
        <f>-PV(BondCalculator!$B$9/12,B93,0,1,0)</f>
        <v>0.63834350209113577</v>
      </c>
      <c r="S93" s="64">
        <f t="shared" si="11"/>
        <v>1706.8936568746258</v>
      </c>
    </row>
    <row r="94" spans="1:19" ht="16.05" customHeight="1" x14ac:dyDescent="0.25">
      <c r="A94" s="61" t="s">
        <v>101</v>
      </c>
      <c r="B94" s="72">
        <v>91</v>
      </c>
      <c r="C94" s="12">
        <f t="shared" si="17"/>
        <v>2116671.6063417327</v>
      </c>
      <c r="D94" s="12">
        <f>IF(G93=0,0,IF(G93&lt;BondCalculator!$B$12,G93+E94,BondCalculator!$B$12))</f>
        <v>26660.740787821473</v>
      </c>
      <c r="E94" s="12">
        <f>C94*BondCalculator!$B$5/12</f>
        <v>20284.769560774937</v>
      </c>
      <c r="F94" s="12">
        <f t="shared" si="12"/>
        <v>6375.9712270465352</v>
      </c>
      <c r="G94" s="12">
        <f t="shared" si="13"/>
        <v>2110295.6351146861</v>
      </c>
      <c r="H94" s="22">
        <f t="shared" si="14"/>
        <v>0.84411825404587448</v>
      </c>
      <c r="J94" s="51">
        <f t="shared" si="15"/>
        <v>1832977.6037799506</v>
      </c>
      <c r="K94" s="51">
        <f>IF(N93=0,0,IF(N93&lt;BondCalculator!$B$12+BondCalculator!$B$7,N93+L94,BondCalculator!$B$12+BondCalculator!$B$7))</f>
        <v>28660.740787821473</v>
      </c>
      <c r="L94" s="51">
        <f>J94*BondCalculator!$B$5/12</f>
        <v>17566.035369557863</v>
      </c>
      <c r="M94" s="51">
        <f t="shared" si="16"/>
        <v>11094.705418263609</v>
      </c>
      <c r="N94" s="51">
        <f t="shared" si="9"/>
        <v>1821882.8983616871</v>
      </c>
      <c r="P94" s="51">
        <f t="shared" si="10"/>
        <v>2718.7341912170741</v>
      </c>
      <c r="Q94" s="63">
        <f>-PV(BondCalculator!$B$9/12,B94,0,1,0)</f>
        <v>0.63516766377227452</v>
      </c>
      <c r="S94" s="64">
        <f t="shared" si="11"/>
        <v>1726.8520446531531</v>
      </c>
    </row>
    <row r="95" spans="1:19" ht="16.05" customHeight="1" x14ac:dyDescent="0.25">
      <c r="A95" s="61" t="s">
        <v>101</v>
      </c>
      <c r="B95" s="72">
        <v>92</v>
      </c>
      <c r="C95" s="12">
        <f t="shared" si="17"/>
        <v>2110295.6351146861</v>
      </c>
      <c r="D95" s="12">
        <f>IF(G94=0,0,IF(G94&lt;BondCalculator!$B$12,G94+E95,BondCalculator!$B$12))</f>
        <v>26660.740787821473</v>
      </c>
      <c r="E95" s="12">
        <f>C95*BondCalculator!$B$5/12</f>
        <v>20223.666503182409</v>
      </c>
      <c r="F95" s="12">
        <f t="shared" si="12"/>
        <v>6437.074284639064</v>
      </c>
      <c r="G95" s="12">
        <f t="shared" si="13"/>
        <v>2103858.5608300469</v>
      </c>
      <c r="H95" s="22">
        <f t="shared" si="14"/>
        <v>0.84154342433201879</v>
      </c>
      <c r="J95" s="51">
        <f t="shared" si="15"/>
        <v>1821882.8983616871</v>
      </c>
      <c r="K95" s="51">
        <f>IF(N94=0,0,IF(N94&lt;BondCalculator!$B$12+BondCalculator!$B$7,N94+L95,BondCalculator!$B$12+BondCalculator!$B$7))</f>
        <v>28660.740787821473</v>
      </c>
      <c r="L95" s="51">
        <f>J95*BondCalculator!$B$5/12</f>
        <v>17459.7111092995</v>
      </c>
      <c r="M95" s="51">
        <f t="shared" si="16"/>
        <v>11201.029678521973</v>
      </c>
      <c r="N95" s="51">
        <f t="shared" si="9"/>
        <v>1810681.8686831652</v>
      </c>
      <c r="P95" s="51">
        <f t="shared" si="10"/>
        <v>2763.9553938829085</v>
      </c>
      <c r="Q95" s="63">
        <f>-PV(BondCalculator!$B$9/12,B95,0,1,0)</f>
        <v>0.63200762564405433</v>
      </c>
      <c r="S95" s="64">
        <f t="shared" si="11"/>
        <v>1746.840885874014</v>
      </c>
    </row>
    <row r="96" spans="1:19" ht="16.05" customHeight="1" x14ac:dyDescent="0.25">
      <c r="A96" s="61" t="s">
        <v>101</v>
      </c>
      <c r="B96" s="72">
        <v>93</v>
      </c>
      <c r="C96" s="12">
        <f t="shared" si="17"/>
        <v>2103858.5608300469</v>
      </c>
      <c r="D96" s="12">
        <f>IF(G95=0,0,IF(G95&lt;BondCalculator!$B$12,G95+E96,BondCalculator!$B$12))</f>
        <v>26660.740787821473</v>
      </c>
      <c r="E96" s="12">
        <f>C96*BondCalculator!$B$5/12</f>
        <v>20161.977874621283</v>
      </c>
      <c r="F96" s="12">
        <f t="shared" si="12"/>
        <v>6498.7629132001894</v>
      </c>
      <c r="G96" s="12">
        <f t="shared" si="13"/>
        <v>2097359.7979168468</v>
      </c>
      <c r="H96" s="22">
        <f t="shared" si="14"/>
        <v>0.83894391916673872</v>
      </c>
      <c r="J96" s="51">
        <f t="shared" si="15"/>
        <v>1810681.8686831652</v>
      </c>
      <c r="K96" s="51">
        <f>IF(N95=0,0,IF(N95&lt;BondCalculator!$B$12+BondCalculator!$B$7,N95+L96,BondCalculator!$B$12+BondCalculator!$B$7))</f>
        <v>28660.740787821473</v>
      </c>
      <c r="L96" s="51">
        <f>J96*BondCalculator!$B$5/12</f>
        <v>17352.367908213666</v>
      </c>
      <c r="M96" s="51">
        <f t="shared" si="16"/>
        <v>11308.372879607807</v>
      </c>
      <c r="N96" s="51">
        <f t="shared" si="9"/>
        <v>1799373.4958035573</v>
      </c>
      <c r="P96" s="51">
        <f t="shared" si="10"/>
        <v>2809.6099664076173</v>
      </c>
      <c r="Q96" s="63">
        <f>-PV(BondCalculator!$B$9/12,B96,0,1,0)</f>
        <v>0.62886330909856158</v>
      </c>
      <c r="S96" s="64">
        <f t="shared" si="11"/>
        <v>1766.8606207513926</v>
      </c>
    </row>
    <row r="97" spans="1:19" ht="16.05" customHeight="1" x14ac:dyDescent="0.25">
      <c r="A97" s="61" t="s">
        <v>101</v>
      </c>
      <c r="B97" s="72">
        <v>94</v>
      </c>
      <c r="C97" s="12">
        <f t="shared" si="17"/>
        <v>2097359.7979168468</v>
      </c>
      <c r="D97" s="12">
        <f>IF(G96=0,0,IF(G96&lt;BondCalculator!$B$12,G96+E97,BondCalculator!$B$12))</f>
        <v>26660.740787821473</v>
      </c>
      <c r="E97" s="12">
        <f>C97*BondCalculator!$B$5/12</f>
        <v>20099.698063369782</v>
      </c>
      <c r="F97" s="12">
        <f t="shared" si="12"/>
        <v>6561.0427244516904</v>
      </c>
      <c r="G97" s="12">
        <f t="shared" si="13"/>
        <v>2090798.7551923951</v>
      </c>
      <c r="H97" s="22">
        <f t="shared" si="14"/>
        <v>0.83631950207695804</v>
      </c>
      <c r="J97" s="51">
        <f t="shared" si="15"/>
        <v>1799373.4958035573</v>
      </c>
      <c r="K97" s="51">
        <f>IF(N96=0,0,IF(N96&lt;BondCalculator!$B$12+BondCalculator!$B$7,N96+L97,BondCalculator!$B$12+BondCalculator!$B$7))</f>
        <v>28660.740787821473</v>
      </c>
      <c r="L97" s="51">
        <f>J97*BondCalculator!$B$5/12</f>
        <v>17243.99600145076</v>
      </c>
      <c r="M97" s="51">
        <f t="shared" si="16"/>
        <v>11416.744786370713</v>
      </c>
      <c r="N97" s="51">
        <f t="shared" si="9"/>
        <v>1787956.7510171866</v>
      </c>
      <c r="P97" s="51">
        <f t="shared" si="10"/>
        <v>2855.7020619190225</v>
      </c>
      <c r="Q97" s="63">
        <f>-PV(BondCalculator!$B$9/12,B97,0,1,0)</f>
        <v>0.62573463591896694</v>
      </c>
      <c r="S97" s="64">
        <f t="shared" si="11"/>
        <v>1786.9116900079428</v>
      </c>
    </row>
    <row r="98" spans="1:19" ht="16.05" customHeight="1" x14ac:dyDescent="0.25">
      <c r="A98" s="61" t="s">
        <v>101</v>
      </c>
      <c r="B98" s="72">
        <v>95</v>
      </c>
      <c r="C98" s="12">
        <f t="shared" si="17"/>
        <v>2090798.7551923951</v>
      </c>
      <c r="D98" s="12">
        <f>IF(G97=0,0,IF(G97&lt;BondCalculator!$B$12,G97+E98,BondCalculator!$B$12))</f>
        <v>26660.740787821473</v>
      </c>
      <c r="E98" s="12">
        <f>C98*BondCalculator!$B$5/12</f>
        <v>20036.821403927122</v>
      </c>
      <c r="F98" s="12">
        <f t="shared" si="12"/>
        <v>6623.9193838943502</v>
      </c>
      <c r="G98" s="12">
        <f t="shared" si="13"/>
        <v>2084174.8358085006</v>
      </c>
      <c r="H98" s="22">
        <f t="shared" si="14"/>
        <v>0.83366993432340031</v>
      </c>
      <c r="J98" s="51">
        <f t="shared" si="15"/>
        <v>1787956.7510171866</v>
      </c>
      <c r="K98" s="51">
        <f>IF(N97=0,0,IF(N97&lt;BondCalculator!$B$12+BondCalculator!$B$7,N97+L98,BondCalculator!$B$12+BondCalculator!$B$7))</f>
        <v>28660.740787821473</v>
      </c>
      <c r="L98" s="51">
        <f>J98*BondCalculator!$B$5/12</f>
        <v>17134.585530581371</v>
      </c>
      <c r="M98" s="51">
        <f t="shared" si="16"/>
        <v>11526.155257240101</v>
      </c>
      <c r="N98" s="51">
        <f t="shared" si="9"/>
        <v>1776430.5957599464</v>
      </c>
      <c r="P98" s="51">
        <f t="shared" si="10"/>
        <v>2902.2358733457513</v>
      </c>
      <c r="Q98" s="63">
        <f>-PV(BondCalculator!$B$9/12,B98,0,1,0)</f>
        <v>0.62262152827757922</v>
      </c>
      <c r="S98" s="64">
        <f t="shared" si="11"/>
        <v>1806.9945348845465</v>
      </c>
    </row>
    <row r="99" spans="1:19" ht="16.05" customHeight="1" x14ac:dyDescent="0.25">
      <c r="A99" s="61" t="s">
        <v>101</v>
      </c>
      <c r="B99" s="72">
        <v>96</v>
      </c>
      <c r="C99" s="12">
        <f t="shared" si="17"/>
        <v>2084174.8358085006</v>
      </c>
      <c r="D99" s="12">
        <f>IF(G98=0,0,IF(G98&lt;BondCalculator!$B$12,G98+E99,BondCalculator!$B$12))</f>
        <v>26660.740787821473</v>
      </c>
      <c r="E99" s="12">
        <f>C99*BondCalculator!$B$5/12</f>
        <v>19973.342176498132</v>
      </c>
      <c r="F99" s="12">
        <f t="shared" si="12"/>
        <v>6687.3986113233404</v>
      </c>
      <c r="G99" s="12">
        <f t="shared" si="13"/>
        <v>2077487.4371971772</v>
      </c>
      <c r="H99" s="22">
        <f t="shared" si="14"/>
        <v>0.83099497487887086</v>
      </c>
      <c r="J99" s="51">
        <f t="shared" si="15"/>
        <v>1776430.5957599464</v>
      </c>
      <c r="K99" s="51">
        <f>IF(N98=0,0,IF(N98&lt;BondCalculator!$B$12+BondCalculator!$B$7,N98+L99,BondCalculator!$B$12+BondCalculator!$B$7))</f>
        <v>28660.740787821473</v>
      </c>
      <c r="L99" s="51">
        <f>J99*BondCalculator!$B$5/12</f>
        <v>17024.126542699487</v>
      </c>
      <c r="M99" s="51">
        <f t="shared" si="16"/>
        <v>11636.614245121986</v>
      </c>
      <c r="N99" s="51">
        <f t="shared" si="9"/>
        <v>1764793.9815148243</v>
      </c>
      <c r="P99" s="51">
        <f t="shared" si="10"/>
        <v>2949.2156337986453</v>
      </c>
      <c r="Q99" s="63">
        <f>-PV(BondCalculator!$B$9/12,B99,0,1,0)</f>
        <v>0.61952390873390972</v>
      </c>
      <c r="S99" s="64">
        <f t="shared" si="11"/>
        <v>1827.1095971500915</v>
      </c>
    </row>
    <row r="100" spans="1:19" ht="16.05" customHeight="1" x14ac:dyDescent="0.25">
      <c r="A100" s="61" t="s">
        <v>102</v>
      </c>
      <c r="B100" s="72">
        <v>97</v>
      </c>
      <c r="C100" s="12">
        <f t="shared" si="17"/>
        <v>2077487.4371971772</v>
      </c>
      <c r="D100" s="12">
        <f>IF(G99=0,0,IF(G99&lt;BondCalculator!$B$12,G99+E100,BondCalculator!$B$12))</f>
        <v>26660.740787821473</v>
      </c>
      <c r="E100" s="12">
        <f>C100*BondCalculator!$B$5/12</f>
        <v>19909.25460647295</v>
      </c>
      <c r="F100" s="12">
        <f t="shared" si="12"/>
        <v>6751.4861813485222</v>
      </c>
      <c r="G100" s="12">
        <f t="shared" si="13"/>
        <v>2070735.9510158286</v>
      </c>
      <c r="H100" s="22">
        <f t="shared" si="14"/>
        <v>0.82829438040633141</v>
      </c>
      <c r="J100" s="51">
        <f t="shared" si="15"/>
        <v>1764793.9815148243</v>
      </c>
      <c r="K100" s="51">
        <f>IF(N99=0,0,IF(N99&lt;BondCalculator!$B$12+BondCalculator!$B$7,N99+L100,BondCalculator!$B$12+BondCalculator!$B$7))</f>
        <v>28660.740787821473</v>
      </c>
      <c r="L100" s="51">
        <f>J100*BondCalculator!$B$5/12</f>
        <v>16912.608989517066</v>
      </c>
      <c r="M100" s="51">
        <f t="shared" si="16"/>
        <v>11748.131798304406</v>
      </c>
      <c r="N100" s="51">
        <f t="shared" si="9"/>
        <v>1753045.8497165199</v>
      </c>
      <c r="P100" s="51">
        <f t="shared" si="10"/>
        <v>2996.6456169558842</v>
      </c>
      <c r="Q100" s="63">
        <f>-PV(BondCalculator!$B$9/12,B100,0,1,0)</f>
        <v>0.61644170023274603</v>
      </c>
      <c r="S100" s="64">
        <f t="shared" si="11"/>
        <v>1847.2573191112915</v>
      </c>
    </row>
    <row r="101" spans="1:19" ht="16.05" customHeight="1" x14ac:dyDescent="0.25">
      <c r="A101" s="61" t="s">
        <v>102</v>
      </c>
      <c r="B101" s="72">
        <v>98</v>
      </c>
      <c r="C101" s="12">
        <f t="shared" si="17"/>
        <v>2070735.9510158286</v>
      </c>
      <c r="D101" s="12">
        <f>IF(G100=0,0,IF(G100&lt;BondCalculator!$B$12,G100+E101,BondCalculator!$B$12))</f>
        <v>26660.740787821473</v>
      </c>
      <c r="E101" s="12">
        <f>C101*BondCalculator!$B$5/12</f>
        <v>19844.552863901692</v>
      </c>
      <c r="F101" s="12">
        <f t="shared" si="12"/>
        <v>6816.1879239197806</v>
      </c>
      <c r="G101" s="12">
        <f t="shared" si="13"/>
        <v>2063919.7630919088</v>
      </c>
      <c r="H101" s="22">
        <f t="shared" si="14"/>
        <v>0.82556790523676349</v>
      </c>
      <c r="J101" s="51">
        <f t="shared" si="15"/>
        <v>1753045.8497165199</v>
      </c>
      <c r="K101" s="51">
        <f>IF(N100=0,0,IF(N100&lt;BondCalculator!$B$12+BondCalculator!$B$7,N100+L101,BondCalculator!$B$12+BondCalculator!$B$7))</f>
        <v>28660.740787821473</v>
      </c>
      <c r="L101" s="51">
        <f>J101*BondCalculator!$B$5/12</f>
        <v>16800.022726449984</v>
      </c>
      <c r="M101" s="51">
        <f t="shared" si="16"/>
        <v>11860.718061371488</v>
      </c>
      <c r="N101" s="51">
        <f t="shared" si="9"/>
        <v>1741185.1316551485</v>
      </c>
      <c r="P101" s="51">
        <f t="shared" si="10"/>
        <v>3044.5301374517076</v>
      </c>
      <c r="Q101" s="63">
        <f>-PV(BondCalculator!$B$9/12,B101,0,1,0)</f>
        <v>0.61337482610223493</v>
      </c>
      <c r="S101" s="64">
        <f t="shared" si="11"/>
        <v>1867.4381436224546</v>
      </c>
    </row>
    <row r="102" spans="1:19" ht="16.05" customHeight="1" x14ac:dyDescent="0.25">
      <c r="A102" s="61" t="s">
        <v>102</v>
      </c>
      <c r="B102" s="72">
        <v>99</v>
      </c>
      <c r="C102" s="12">
        <f t="shared" si="17"/>
        <v>2063919.7630919088</v>
      </c>
      <c r="D102" s="12">
        <f>IF(G101=0,0,IF(G101&lt;BondCalculator!$B$12,G101+E102,BondCalculator!$B$12))</f>
        <v>26660.740787821473</v>
      </c>
      <c r="E102" s="12">
        <f>C102*BondCalculator!$B$5/12</f>
        <v>19779.231062964125</v>
      </c>
      <c r="F102" s="12">
        <f t="shared" si="12"/>
        <v>6881.5097248573475</v>
      </c>
      <c r="G102" s="12">
        <f t="shared" si="13"/>
        <v>2057038.2533670515</v>
      </c>
      <c r="H102" s="22">
        <f t="shared" si="14"/>
        <v>0.82281530134682057</v>
      </c>
      <c r="J102" s="51">
        <f t="shared" si="15"/>
        <v>1741185.1316551485</v>
      </c>
      <c r="K102" s="51">
        <f>IF(N101=0,0,IF(N101&lt;BondCalculator!$B$12+BondCalculator!$B$7,N101+L102,BondCalculator!$B$12+BondCalculator!$B$7))</f>
        <v>28660.740787821473</v>
      </c>
      <c r="L102" s="51">
        <f>J102*BondCalculator!$B$5/12</f>
        <v>16686.357511695172</v>
      </c>
      <c r="M102" s="51">
        <f t="shared" si="16"/>
        <v>11974.3832761263</v>
      </c>
      <c r="N102" s="51">
        <f t="shared" si="9"/>
        <v>1729210.7483790221</v>
      </c>
      <c r="P102" s="51">
        <f t="shared" si="10"/>
        <v>3092.8735512689527</v>
      </c>
      <c r="Q102" s="63">
        <f>-PV(BondCalculator!$B$9/12,B102,0,1,0)</f>
        <v>0.6103232100519751</v>
      </c>
      <c r="S102" s="64">
        <f t="shared" si="11"/>
        <v>1887.6525140953192</v>
      </c>
    </row>
    <row r="103" spans="1:19" ht="16.05" customHeight="1" x14ac:dyDescent="0.25">
      <c r="A103" s="61" t="s">
        <v>102</v>
      </c>
      <c r="B103" s="72">
        <v>100</v>
      </c>
      <c r="C103" s="12">
        <f t="shared" si="17"/>
        <v>2057038.2533670515</v>
      </c>
      <c r="D103" s="12">
        <f>IF(G102=0,0,IF(G102&lt;BondCalculator!$B$12,G102+E103,BondCalculator!$B$12))</f>
        <v>26660.740787821473</v>
      </c>
      <c r="E103" s="12">
        <f>C103*BondCalculator!$B$5/12</f>
        <v>19713.283261434244</v>
      </c>
      <c r="F103" s="12">
        <f t="shared" si="12"/>
        <v>6947.4575263872284</v>
      </c>
      <c r="G103" s="12">
        <f t="shared" si="13"/>
        <v>2050090.7958406643</v>
      </c>
      <c r="H103" s="22">
        <f t="shared" si="14"/>
        <v>0.82003631833626567</v>
      </c>
      <c r="J103" s="51">
        <f t="shared" si="15"/>
        <v>1729210.7483790221</v>
      </c>
      <c r="K103" s="51">
        <f>IF(N102=0,0,IF(N102&lt;BondCalculator!$B$12+BondCalculator!$B$7,N102+L103,BondCalculator!$B$12+BondCalculator!$B$7))</f>
        <v>28660.740787821473</v>
      </c>
      <c r="L103" s="51">
        <f>J103*BondCalculator!$B$5/12</f>
        <v>16571.603005298963</v>
      </c>
      <c r="M103" s="51">
        <f t="shared" si="16"/>
        <v>12089.13778252251</v>
      </c>
      <c r="N103" s="51">
        <f t="shared" si="9"/>
        <v>1717121.6105964996</v>
      </c>
      <c r="P103" s="51">
        <f t="shared" si="10"/>
        <v>3141.6802561352815</v>
      </c>
      <c r="Q103" s="63">
        <f>-PV(BondCalculator!$B$9/12,B103,0,1,0)</f>
        <v>0.6072867761711197</v>
      </c>
      <c r="S103" s="64">
        <f t="shared" si="11"/>
        <v>1907.9008745088527</v>
      </c>
    </row>
    <row r="104" spans="1:19" ht="16.05" customHeight="1" x14ac:dyDescent="0.25">
      <c r="A104" s="61" t="s">
        <v>102</v>
      </c>
      <c r="B104" s="72">
        <v>101</v>
      </c>
      <c r="C104" s="12">
        <f t="shared" si="17"/>
        <v>2050090.7958406643</v>
      </c>
      <c r="D104" s="12">
        <f>IF(G103=0,0,IF(G103&lt;BondCalculator!$B$12,G103+E104,BondCalculator!$B$12))</f>
        <v>26660.740787821473</v>
      </c>
      <c r="E104" s="12">
        <f>C104*BondCalculator!$B$5/12</f>
        <v>19646.703460139699</v>
      </c>
      <c r="F104" s="12">
        <f t="shared" si="12"/>
        <v>7014.0373276817736</v>
      </c>
      <c r="G104" s="12">
        <f t="shared" si="13"/>
        <v>2043076.7585129826</v>
      </c>
      <c r="H104" s="22">
        <f t="shared" si="14"/>
        <v>0.8172307034051931</v>
      </c>
      <c r="J104" s="51">
        <f t="shared" si="15"/>
        <v>1717121.6105964996</v>
      </c>
      <c r="K104" s="51">
        <f>IF(N103=0,0,IF(N103&lt;BondCalculator!$B$12+BondCalculator!$B$7,N103+L104,BondCalculator!$B$12+BondCalculator!$B$7))</f>
        <v>28660.740787821473</v>
      </c>
      <c r="L104" s="51">
        <f>J104*BondCalculator!$B$5/12</f>
        <v>16455.748768216454</v>
      </c>
      <c r="M104" s="51">
        <f t="shared" si="16"/>
        <v>12204.992019605019</v>
      </c>
      <c r="N104" s="51">
        <f t="shared" si="9"/>
        <v>1704916.6185768945</v>
      </c>
      <c r="P104" s="51">
        <f t="shared" si="10"/>
        <v>3190.9546919232453</v>
      </c>
      <c r="Q104" s="63">
        <f>-PV(BondCalculator!$B$9/12,B104,0,1,0)</f>
        <v>0.60426544892648737</v>
      </c>
      <c r="S104" s="64">
        <f t="shared" si="11"/>
        <v>1928.1836694190811</v>
      </c>
    </row>
    <row r="105" spans="1:19" ht="16.05" customHeight="1" x14ac:dyDescent="0.25">
      <c r="A105" s="61" t="s">
        <v>102</v>
      </c>
      <c r="B105" s="72">
        <v>102</v>
      </c>
      <c r="C105" s="12">
        <f t="shared" si="17"/>
        <v>2043076.7585129826</v>
      </c>
      <c r="D105" s="12">
        <f>IF(G104=0,0,IF(G104&lt;BondCalculator!$B$12,G104+E105,BondCalculator!$B$12))</f>
        <v>26660.740787821473</v>
      </c>
      <c r="E105" s="12">
        <f>C105*BondCalculator!$B$5/12</f>
        <v>19579.485602416084</v>
      </c>
      <c r="F105" s="12">
        <f t="shared" si="12"/>
        <v>7081.2551854053891</v>
      </c>
      <c r="G105" s="12">
        <f t="shared" si="13"/>
        <v>2035995.5033275771</v>
      </c>
      <c r="H105" s="22">
        <f t="shared" si="14"/>
        <v>0.8143982013310308</v>
      </c>
      <c r="J105" s="51">
        <f t="shared" si="15"/>
        <v>1704916.6185768945</v>
      </c>
      <c r="K105" s="51">
        <f>IF(N104=0,0,IF(N104&lt;BondCalculator!$B$12+BondCalculator!$B$7,N104+L105,BondCalculator!$B$12+BondCalculator!$B$7))</f>
        <v>28660.740787821473</v>
      </c>
      <c r="L105" s="51">
        <f>J105*BondCalculator!$B$5/12</f>
        <v>16338.784261361907</v>
      </c>
      <c r="M105" s="51">
        <f t="shared" si="16"/>
        <v>12321.956526459566</v>
      </c>
      <c r="N105" s="51">
        <f t="shared" si="9"/>
        <v>1692594.6620504349</v>
      </c>
      <c r="P105" s="51">
        <f t="shared" si="10"/>
        <v>3240.7013410541767</v>
      </c>
      <c r="Q105" s="63">
        <f>-PV(BondCalculator!$B$9/12,B105,0,1,0)</f>
        <v>0.60125915316068401</v>
      </c>
      <c r="S105" s="64">
        <f t="shared" si="11"/>
        <v>1948.5013439689274</v>
      </c>
    </row>
    <row r="106" spans="1:19" ht="16.05" customHeight="1" x14ac:dyDescent="0.25">
      <c r="A106" s="61" t="s">
        <v>102</v>
      </c>
      <c r="B106" s="72">
        <v>103</v>
      </c>
      <c r="C106" s="12">
        <f t="shared" si="17"/>
        <v>2035995.5033275771</v>
      </c>
      <c r="D106" s="12">
        <f>IF(G105=0,0,IF(G105&lt;BondCalculator!$B$12,G105+E106,BondCalculator!$B$12))</f>
        <v>26660.740787821473</v>
      </c>
      <c r="E106" s="12">
        <f>C106*BondCalculator!$B$5/12</f>
        <v>19511.623573555949</v>
      </c>
      <c r="F106" s="12">
        <f t="shared" si="12"/>
        <v>7149.1172142655232</v>
      </c>
      <c r="G106" s="12">
        <f t="shared" si="13"/>
        <v>2028846.3861133116</v>
      </c>
      <c r="H106" s="22">
        <f t="shared" si="14"/>
        <v>0.81153855444532463</v>
      </c>
      <c r="J106" s="51">
        <f t="shared" si="15"/>
        <v>1692594.6620504349</v>
      </c>
      <c r="K106" s="51">
        <f>IF(N105=0,0,IF(N105&lt;BondCalculator!$B$12+BondCalculator!$B$7,N105+L106,BondCalculator!$B$12+BondCalculator!$B$7))</f>
        <v>28660.740787821473</v>
      </c>
      <c r="L106" s="51">
        <f>J106*BondCalculator!$B$5/12</f>
        <v>16220.698844650002</v>
      </c>
      <c r="M106" s="51">
        <f t="shared" si="16"/>
        <v>12440.041943171471</v>
      </c>
      <c r="N106" s="51">
        <f t="shared" si="9"/>
        <v>1680154.6201072633</v>
      </c>
      <c r="P106" s="51">
        <f t="shared" si="10"/>
        <v>3290.9247289059476</v>
      </c>
      <c r="Q106" s="63">
        <f>-PV(BondCalculator!$B$9/12,B106,0,1,0)</f>
        <v>0.59826781409023289</v>
      </c>
      <c r="S106" s="64">
        <f t="shared" si="11"/>
        <v>1968.8543438980535</v>
      </c>
    </row>
    <row r="107" spans="1:19" ht="16.05" customHeight="1" x14ac:dyDescent="0.25">
      <c r="A107" s="61" t="s">
        <v>102</v>
      </c>
      <c r="B107" s="72">
        <v>104</v>
      </c>
      <c r="C107" s="12">
        <f t="shared" si="17"/>
        <v>2028846.3861133116</v>
      </c>
      <c r="D107" s="12">
        <f>IF(G106=0,0,IF(G106&lt;BondCalculator!$B$12,G106+E107,BondCalculator!$B$12))</f>
        <v>26660.740787821473</v>
      </c>
      <c r="E107" s="12">
        <f>C107*BondCalculator!$B$5/12</f>
        <v>19443.11120025257</v>
      </c>
      <c r="F107" s="12">
        <f t="shared" si="12"/>
        <v>7217.6295875689029</v>
      </c>
      <c r="G107" s="12">
        <f t="shared" si="13"/>
        <v>2021628.7565257428</v>
      </c>
      <c r="H107" s="22">
        <f t="shared" si="14"/>
        <v>0.80865150261029717</v>
      </c>
      <c r="J107" s="51">
        <f t="shared" si="15"/>
        <v>1680154.6201072633</v>
      </c>
      <c r="K107" s="51">
        <f>IF(N106=0,0,IF(N106&lt;BondCalculator!$B$12+BondCalculator!$B$7,N106+L107,BondCalculator!$B$12+BondCalculator!$B$7))</f>
        <v>28660.740787821473</v>
      </c>
      <c r="L107" s="51">
        <f>J107*BondCalculator!$B$5/12</f>
        <v>16101.48177602794</v>
      </c>
      <c r="M107" s="51">
        <f t="shared" si="16"/>
        <v>12559.259011793532</v>
      </c>
      <c r="N107" s="51">
        <f t="shared" si="9"/>
        <v>1667595.3610954699</v>
      </c>
      <c r="P107" s="51">
        <f t="shared" si="10"/>
        <v>3341.6294242246295</v>
      </c>
      <c r="Q107" s="63">
        <f>-PV(BondCalculator!$B$9/12,B107,0,1,0)</f>
        <v>0.59529135730371441</v>
      </c>
      <c r="S107" s="64">
        <f t="shared" si="11"/>
        <v>1989.2431155527092</v>
      </c>
    </row>
    <row r="108" spans="1:19" ht="16.05" customHeight="1" x14ac:dyDescent="0.25">
      <c r="A108" s="61" t="s">
        <v>102</v>
      </c>
      <c r="B108" s="72">
        <v>105</v>
      </c>
      <c r="C108" s="12">
        <f t="shared" si="17"/>
        <v>2021628.7565257428</v>
      </c>
      <c r="D108" s="12">
        <f>IF(G107=0,0,IF(G107&lt;BondCalculator!$B$12,G107+E108,BondCalculator!$B$12))</f>
        <v>26660.740787821473</v>
      </c>
      <c r="E108" s="12">
        <f>C108*BondCalculator!$B$5/12</f>
        <v>19373.94225003837</v>
      </c>
      <c r="F108" s="12">
        <f t="shared" si="12"/>
        <v>7286.7985377831028</v>
      </c>
      <c r="G108" s="12">
        <f t="shared" si="13"/>
        <v>2014341.9579879597</v>
      </c>
      <c r="H108" s="22">
        <f t="shared" si="14"/>
        <v>0.80573678319518394</v>
      </c>
      <c r="J108" s="51">
        <f t="shared" si="15"/>
        <v>1667595.3610954699</v>
      </c>
      <c r="K108" s="51">
        <f>IF(N107=0,0,IF(N107&lt;BondCalculator!$B$12+BondCalculator!$B$7,N107+L108,BondCalculator!$B$12+BondCalculator!$B$7))</f>
        <v>28660.740787821473</v>
      </c>
      <c r="L108" s="51">
        <f>J108*BondCalculator!$B$5/12</f>
        <v>15981.122210498253</v>
      </c>
      <c r="M108" s="51">
        <f t="shared" si="16"/>
        <v>12679.618577323219</v>
      </c>
      <c r="N108" s="51">
        <f t="shared" si="9"/>
        <v>1654915.7425181468</v>
      </c>
      <c r="P108" s="51">
        <f t="shared" si="10"/>
        <v>3392.8200395401163</v>
      </c>
      <c r="Q108" s="63">
        <f>-PV(BondCalculator!$B$9/12,B108,0,1,0)</f>
        <v>0.59232970875991497</v>
      </c>
      <c r="S108" s="64">
        <f t="shared" si="11"/>
        <v>2009.6681058956003</v>
      </c>
    </row>
    <row r="109" spans="1:19" ht="16.05" customHeight="1" x14ac:dyDescent="0.25">
      <c r="A109" s="61" t="s">
        <v>102</v>
      </c>
      <c r="B109" s="72">
        <v>106</v>
      </c>
      <c r="C109" s="12">
        <f t="shared" si="17"/>
        <v>2014341.9579879597</v>
      </c>
      <c r="D109" s="12">
        <f>IF(G108=0,0,IF(G108&lt;BondCalculator!$B$12,G108+E109,BondCalculator!$B$12))</f>
        <v>26660.740787821473</v>
      </c>
      <c r="E109" s="12">
        <f>C109*BondCalculator!$B$5/12</f>
        <v>19304.110430717948</v>
      </c>
      <c r="F109" s="12">
        <f t="shared" si="12"/>
        <v>7356.6303571035241</v>
      </c>
      <c r="G109" s="12">
        <f t="shared" si="13"/>
        <v>2006985.3276308563</v>
      </c>
      <c r="H109" s="22">
        <f t="shared" si="14"/>
        <v>0.80279413105234254</v>
      </c>
      <c r="J109" s="51">
        <f t="shared" si="15"/>
        <v>1654915.7425181468</v>
      </c>
      <c r="K109" s="51">
        <f>IF(N108=0,0,IF(N108&lt;BondCalculator!$B$12+BondCalculator!$B$7,N108+L109,BondCalculator!$B$12+BondCalculator!$B$7))</f>
        <v>28660.740787821473</v>
      </c>
      <c r="L109" s="51">
        <f>J109*BondCalculator!$B$5/12</f>
        <v>15859.609199132241</v>
      </c>
      <c r="M109" s="51">
        <f t="shared" si="16"/>
        <v>12801.131588689232</v>
      </c>
      <c r="N109" s="51">
        <f t="shared" si="9"/>
        <v>1642114.6109294575</v>
      </c>
      <c r="P109" s="51">
        <f t="shared" si="10"/>
        <v>3444.5012315857075</v>
      </c>
      <c r="Q109" s="63">
        <f>-PV(BondCalculator!$B$9/12,B109,0,1,0)</f>
        <v>0.5893827947859851</v>
      </c>
      <c r="S109" s="64">
        <f t="shared" si="11"/>
        <v>2030.129762515752</v>
      </c>
    </row>
    <row r="110" spans="1:19" ht="16.05" customHeight="1" x14ac:dyDescent="0.25">
      <c r="A110" s="61" t="s">
        <v>102</v>
      </c>
      <c r="B110" s="72">
        <v>107</v>
      </c>
      <c r="C110" s="12">
        <f t="shared" si="17"/>
        <v>2006985.3276308563</v>
      </c>
      <c r="D110" s="12">
        <f>IF(G109=0,0,IF(G109&lt;BondCalculator!$B$12,G109+E110,BondCalculator!$B$12))</f>
        <v>26660.740787821473</v>
      </c>
      <c r="E110" s="12">
        <f>C110*BondCalculator!$B$5/12</f>
        <v>19233.609389795707</v>
      </c>
      <c r="F110" s="12">
        <f t="shared" si="12"/>
        <v>7427.1313980257655</v>
      </c>
      <c r="G110" s="12">
        <f t="shared" si="13"/>
        <v>1999558.1962328306</v>
      </c>
      <c r="H110" s="22">
        <f t="shared" si="14"/>
        <v>0.79982327849313228</v>
      </c>
      <c r="J110" s="51">
        <f t="shared" si="15"/>
        <v>1642114.6109294575</v>
      </c>
      <c r="K110" s="51">
        <f>IF(N109=0,0,IF(N109&lt;BondCalculator!$B$12+BondCalculator!$B$7,N109+L110,BondCalculator!$B$12+BondCalculator!$B$7))</f>
        <v>28660.740787821473</v>
      </c>
      <c r="L110" s="51">
        <f>J110*BondCalculator!$B$5/12</f>
        <v>15736.93168807397</v>
      </c>
      <c r="M110" s="51">
        <f t="shared" si="16"/>
        <v>12923.809099747503</v>
      </c>
      <c r="N110" s="51">
        <f t="shared" si="9"/>
        <v>1629190.8018297099</v>
      </c>
      <c r="P110" s="51">
        <f t="shared" si="10"/>
        <v>3496.6777017217373</v>
      </c>
      <c r="Q110" s="63">
        <f>-PV(BondCalculator!$B$9/12,B110,0,1,0)</f>
        <v>0.5864505420756071</v>
      </c>
      <c r="S110" s="64">
        <f t="shared" si="11"/>
        <v>2050.6285336384008</v>
      </c>
    </row>
    <row r="111" spans="1:19" ht="16.05" customHeight="1" x14ac:dyDescent="0.25">
      <c r="A111" s="61" t="s">
        <v>102</v>
      </c>
      <c r="B111" s="72">
        <v>108</v>
      </c>
      <c r="C111" s="12">
        <f t="shared" si="17"/>
        <v>1999558.1962328306</v>
      </c>
      <c r="D111" s="12">
        <f>IF(G110=0,0,IF(G110&lt;BondCalculator!$B$12,G110+E111,BondCalculator!$B$12))</f>
        <v>26660.740787821473</v>
      </c>
      <c r="E111" s="12">
        <f>C111*BondCalculator!$B$5/12</f>
        <v>19162.432713897961</v>
      </c>
      <c r="F111" s="12">
        <f t="shared" si="12"/>
        <v>7498.308073923512</v>
      </c>
      <c r="G111" s="12">
        <f t="shared" si="13"/>
        <v>1992059.8881589072</v>
      </c>
      <c r="H111" s="22">
        <f t="shared" si="14"/>
        <v>0.79682395526356287</v>
      </c>
      <c r="J111" s="51">
        <f t="shared" si="15"/>
        <v>1629190.8018297099</v>
      </c>
      <c r="K111" s="51">
        <f>IF(N110=0,0,IF(N110&lt;BondCalculator!$B$12+BondCalculator!$B$7,N110+L111,BondCalculator!$B$12+BondCalculator!$B$7))</f>
        <v>28660.740787821473</v>
      </c>
      <c r="L111" s="51">
        <f>J111*BondCalculator!$B$5/12</f>
        <v>15613.078517534721</v>
      </c>
      <c r="M111" s="51">
        <f t="shared" si="16"/>
        <v>13047.662270286752</v>
      </c>
      <c r="N111" s="51">
        <f t="shared" si="9"/>
        <v>1616143.1395594231</v>
      </c>
      <c r="P111" s="51">
        <f t="shared" si="10"/>
        <v>3549.3541963632397</v>
      </c>
      <c r="Q111" s="63">
        <f>-PV(BondCalculator!$B$9/12,B111,0,1,0)</f>
        <v>0.58353287768717144</v>
      </c>
      <c r="S111" s="64">
        <f t="shared" si="11"/>
        <v>2071.1648681348788</v>
      </c>
    </row>
    <row r="112" spans="1:19" ht="16.05" customHeight="1" x14ac:dyDescent="0.25">
      <c r="A112" s="61" t="s">
        <v>103</v>
      </c>
      <c r="B112" s="72">
        <v>109</v>
      </c>
      <c r="C112" s="12">
        <f t="shared" si="17"/>
        <v>1992059.8881589072</v>
      </c>
      <c r="D112" s="12">
        <f>IF(G111=0,0,IF(G111&lt;BondCalculator!$B$12,G111+E112,BondCalculator!$B$12))</f>
        <v>26660.740787821473</v>
      </c>
      <c r="E112" s="12">
        <f>C112*BondCalculator!$B$5/12</f>
        <v>19090.573928189526</v>
      </c>
      <c r="F112" s="12">
        <f t="shared" si="12"/>
        <v>7570.1668596319469</v>
      </c>
      <c r="G112" s="12">
        <f t="shared" si="13"/>
        <v>1984489.7212992753</v>
      </c>
      <c r="H112" s="22">
        <f t="shared" si="14"/>
        <v>0.79379588851971017</v>
      </c>
      <c r="J112" s="51">
        <f t="shared" si="15"/>
        <v>1616143.1395594231</v>
      </c>
      <c r="K112" s="51">
        <f>IF(N111=0,0,IF(N111&lt;BondCalculator!$B$12+BondCalculator!$B$7,N111+L112,BondCalculator!$B$12+BondCalculator!$B$7))</f>
        <v>28660.740787821473</v>
      </c>
      <c r="L112" s="51">
        <f>J112*BondCalculator!$B$5/12</f>
        <v>15488.038420777804</v>
      </c>
      <c r="M112" s="51">
        <f t="shared" si="16"/>
        <v>13172.702367043668</v>
      </c>
      <c r="N112" s="51">
        <f t="shared" si="9"/>
        <v>1602970.4371923795</v>
      </c>
      <c r="P112" s="51">
        <f t="shared" si="10"/>
        <v>3602.5355074117215</v>
      </c>
      <c r="Q112" s="63">
        <f>-PV(BondCalculator!$B$9/12,B112,0,1,0)</f>
        <v>0.58062972904196175</v>
      </c>
      <c r="S112" s="64">
        <f t="shared" si="11"/>
        <v>2091.7392155325142</v>
      </c>
    </row>
    <row r="113" spans="1:19" ht="16.05" customHeight="1" x14ac:dyDescent="0.25">
      <c r="A113" s="61" t="s">
        <v>103</v>
      </c>
      <c r="B113" s="72">
        <v>110</v>
      </c>
      <c r="C113" s="12">
        <f t="shared" si="17"/>
        <v>1984489.7212992753</v>
      </c>
      <c r="D113" s="12">
        <f>IF(G112=0,0,IF(G112&lt;BondCalculator!$B$12,G112+E113,BondCalculator!$B$12))</f>
        <v>26660.740787821473</v>
      </c>
      <c r="E113" s="12">
        <f>C113*BondCalculator!$B$5/12</f>
        <v>19018.026495784721</v>
      </c>
      <c r="F113" s="12">
        <f t="shared" si="12"/>
        <v>7642.7142920367514</v>
      </c>
      <c r="G113" s="12">
        <f t="shared" si="13"/>
        <v>1976847.0070072385</v>
      </c>
      <c r="H113" s="22">
        <f t="shared" si="14"/>
        <v>0.79073880280289544</v>
      </c>
      <c r="J113" s="51">
        <f t="shared" si="15"/>
        <v>1602970.4371923795</v>
      </c>
      <c r="K113" s="51">
        <f>IF(N112=0,0,IF(N112&lt;BondCalculator!$B$12+BondCalculator!$B$7,N112+L113,BondCalculator!$B$12+BondCalculator!$B$7))</f>
        <v>28660.740787821473</v>
      </c>
      <c r="L113" s="51">
        <f>J113*BondCalculator!$B$5/12</f>
        <v>15361.800023093638</v>
      </c>
      <c r="M113" s="51">
        <f t="shared" si="16"/>
        <v>13298.940764727835</v>
      </c>
      <c r="N113" s="51">
        <f t="shared" si="9"/>
        <v>1589671.4964276517</v>
      </c>
      <c r="P113" s="51">
        <f t="shared" si="10"/>
        <v>3656.2264726910835</v>
      </c>
      <c r="Q113" s="63">
        <f>-PV(BondCalculator!$B$9/12,B113,0,1,0)</f>
        <v>0.57774102392235005</v>
      </c>
      <c r="S113" s="64">
        <f t="shared" si="11"/>
        <v>2112.3520260245486</v>
      </c>
    </row>
    <row r="114" spans="1:19" ht="16.05" customHeight="1" x14ac:dyDescent="0.25">
      <c r="A114" s="61" t="s">
        <v>103</v>
      </c>
      <c r="B114" s="72">
        <v>111</v>
      </c>
      <c r="C114" s="12">
        <f t="shared" si="17"/>
        <v>1976847.0070072385</v>
      </c>
      <c r="D114" s="12">
        <f>IF(G113=0,0,IF(G113&lt;BondCalculator!$B$12,G113+E114,BondCalculator!$B$12))</f>
        <v>26660.740787821473</v>
      </c>
      <c r="E114" s="12">
        <f>C114*BondCalculator!$B$5/12</f>
        <v>18944.783817152704</v>
      </c>
      <c r="F114" s="12">
        <f t="shared" si="12"/>
        <v>7715.9569706687689</v>
      </c>
      <c r="G114" s="12">
        <f t="shared" si="13"/>
        <v>1969131.0500365696</v>
      </c>
      <c r="H114" s="22">
        <f t="shared" si="14"/>
        <v>0.78765242001462787</v>
      </c>
      <c r="J114" s="51">
        <f t="shared" si="15"/>
        <v>1589671.4964276517</v>
      </c>
      <c r="K114" s="51">
        <f>IF(N113=0,0,IF(N113&lt;BondCalculator!$B$12+BondCalculator!$B$7,N113+L114,BondCalculator!$B$12+BondCalculator!$B$7))</f>
        <v>28660.740787821473</v>
      </c>
      <c r="L114" s="51">
        <f>J114*BondCalculator!$B$5/12</f>
        <v>15234.351840764997</v>
      </c>
      <c r="M114" s="51">
        <f t="shared" si="16"/>
        <v>13426.388947056475</v>
      </c>
      <c r="N114" s="51">
        <f t="shared" si="9"/>
        <v>1576245.1074805954</v>
      </c>
      <c r="P114" s="51">
        <f t="shared" si="10"/>
        <v>3710.4319763877065</v>
      </c>
      <c r="Q114" s="63">
        <f>-PV(BondCalculator!$B$9/12,B114,0,1,0)</f>
        <v>0.57486669047000016</v>
      </c>
      <c r="S114" s="64">
        <f t="shared" si="11"/>
        <v>2133.0037504800625</v>
      </c>
    </row>
    <row r="115" spans="1:19" ht="16.05" customHeight="1" x14ac:dyDescent="0.25">
      <c r="A115" s="61" t="s">
        <v>103</v>
      </c>
      <c r="B115" s="72">
        <v>112</v>
      </c>
      <c r="C115" s="12">
        <f t="shared" si="17"/>
        <v>1969131.0500365696</v>
      </c>
      <c r="D115" s="12">
        <f>IF(G114=0,0,IF(G114&lt;BondCalculator!$B$12,G114+E115,BondCalculator!$B$12))</f>
        <v>26660.740787821473</v>
      </c>
      <c r="E115" s="12">
        <f>C115*BondCalculator!$B$5/12</f>
        <v>18870.839229517125</v>
      </c>
      <c r="F115" s="12">
        <f t="shared" si="12"/>
        <v>7789.9015583043474</v>
      </c>
      <c r="G115" s="12">
        <f t="shared" si="13"/>
        <v>1961341.1484782652</v>
      </c>
      <c r="H115" s="22">
        <f t="shared" si="14"/>
        <v>0.78453645939130601</v>
      </c>
      <c r="J115" s="51">
        <f t="shared" si="15"/>
        <v>1576245.1074805954</v>
      </c>
      <c r="K115" s="51">
        <f>IF(N114=0,0,IF(N114&lt;BondCalculator!$B$12+BondCalculator!$B$7,N114+L115,BondCalculator!$B$12+BondCalculator!$B$7))</f>
        <v>28660.740787821473</v>
      </c>
      <c r="L115" s="51">
        <f>J115*BondCalculator!$B$5/12</f>
        <v>15105.682280022373</v>
      </c>
      <c r="M115" s="51">
        <f t="shared" si="16"/>
        <v>13555.0585077991</v>
      </c>
      <c r="N115" s="51">
        <f t="shared" si="9"/>
        <v>1562690.0489727962</v>
      </c>
      <c r="P115" s="51">
        <f t="shared" si="10"/>
        <v>3765.1569494947526</v>
      </c>
      <c r="Q115" s="63">
        <f>-PV(BondCalculator!$B$9/12,B115,0,1,0)</f>
        <v>0.57200665718407984</v>
      </c>
      <c r="S115" s="64">
        <f t="shared" si="11"/>
        <v>2153.6948404539007</v>
      </c>
    </row>
    <row r="116" spans="1:19" ht="16.05" customHeight="1" x14ac:dyDescent="0.25">
      <c r="A116" s="61" t="s">
        <v>103</v>
      </c>
      <c r="B116" s="72">
        <v>113</v>
      </c>
      <c r="C116" s="12">
        <f t="shared" si="17"/>
        <v>1961341.1484782652</v>
      </c>
      <c r="D116" s="12">
        <f>IF(G115=0,0,IF(G115&lt;BondCalculator!$B$12,G115+E116,BondCalculator!$B$12))</f>
        <v>26660.740787821473</v>
      </c>
      <c r="E116" s="12">
        <f>C116*BondCalculator!$B$5/12</f>
        <v>18796.186006250042</v>
      </c>
      <c r="F116" s="12">
        <f t="shared" si="12"/>
        <v>7864.5547815714308</v>
      </c>
      <c r="G116" s="12">
        <f t="shared" si="13"/>
        <v>1953476.5936966937</v>
      </c>
      <c r="H116" s="22">
        <f t="shared" si="14"/>
        <v>0.78139063747867743</v>
      </c>
      <c r="J116" s="51">
        <f t="shared" si="15"/>
        <v>1562690.0489727962</v>
      </c>
      <c r="K116" s="51">
        <f>IF(N115=0,0,IF(N115&lt;BondCalculator!$B$12+BondCalculator!$B$7,N115+L116,BondCalculator!$B$12+BondCalculator!$B$7))</f>
        <v>28660.740787821473</v>
      </c>
      <c r="L116" s="51">
        <f>J116*BondCalculator!$B$5/12</f>
        <v>14975.779635989296</v>
      </c>
      <c r="M116" s="51">
        <f t="shared" si="16"/>
        <v>13684.961151832176</v>
      </c>
      <c r="N116" s="51">
        <f t="shared" si="9"/>
        <v>1549005.0878209639</v>
      </c>
      <c r="P116" s="51">
        <f t="shared" si="10"/>
        <v>3820.4063702607455</v>
      </c>
      <c r="Q116" s="63">
        <f>-PV(BondCalculator!$B$9/12,B116,0,1,0)</f>
        <v>0.56916085291948237</v>
      </c>
      <c r="S116" s="64">
        <f t="shared" si="11"/>
        <v>2174.4257481966297</v>
      </c>
    </row>
    <row r="117" spans="1:19" ht="16.05" customHeight="1" x14ac:dyDescent="0.25">
      <c r="A117" s="61" t="s">
        <v>103</v>
      </c>
      <c r="B117" s="72">
        <v>114</v>
      </c>
      <c r="C117" s="12">
        <f t="shared" si="17"/>
        <v>1953476.5936966937</v>
      </c>
      <c r="D117" s="12">
        <f>IF(G116=0,0,IF(G116&lt;BondCalculator!$B$12,G116+E117,BondCalculator!$B$12))</f>
        <v>26660.740787821473</v>
      </c>
      <c r="E117" s="12">
        <f>C117*BondCalculator!$B$5/12</f>
        <v>18720.81735625998</v>
      </c>
      <c r="F117" s="12">
        <f t="shared" si="12"/>
        <v>7939.9234315614922</v>
      </c>
      <c r="G117" s="12">
        <f t="shared" si="13"/>
        <v>1945536.6702651321</v>
      </c>
      <c r="H117" s="22">
        <f t="shared" si="14"/>
        <v>0.77821466810605289</v>
      </c>
      <c r="J117" s="51">
        <f t="shared" si="15"/>
        <v>1549005.0878209639</v>
      </c>
      <c r="K117" s="51">
        <f>IF(N116=0,0,IF(N116&lt;BondCalculator!$B$12+BondCalculator!$B$7,N116+L117,BondCalculator!$B$12+BondCalculator!$B$7))</f>
        <v>28660.740787821473</v>
      </c>
      <c r="L117" s="51">
        <f>J117*BondCalculator!$B$5/12</f>
        <v>14844.63209161757</v>
      </c>
      <c r="M117" s="51">
        <f t="shared" si="16"/>
        <v>13816.108696203903</v>
      </c>
      <c r="N117" s="51">
        <f t="shared" si="9"/>
        <v>1535188.97912476</v>
      </c>
      <c r="P117" s="51">
        <f t="shared" si="10"/>
        <v>3876.1852646424104</v>
      </c>
      <c r="Q117" s="63">
        <f>-PV(BondCalculator!$B$9/12,B117,0,1,0)</f>
        <v>0.56632920688505739</v>
      </c>
      <c r="S117" s="64">
        <f t="shared" si="11"/>
        <v>2195.1969266644824</v>
      </c>
    </row>
    <row r="118" spans="1:19" ht="16.05" customHeight="1" x14ac:dyDescent="0.25">
      <c r="A118" s="61" t="s">
        <v>103</v>
      </c>
      <c r="B118" s="72">
        <v>115</v>
      </c>
      <c r="C118" s="12">
        <f t="shared" si="17"/>
        <v>1945536.6702651321</v>
      </c>
      <c r="D118" s="12">
        <f>IF(G117=0,0,IF(G117&lt;BondCalculator!$B$12,G117+E118,BondCalculator!$B$12))</f>
        <v>26660.740787821473</v>
      </c>
      <c r="E118" s="12">
        <f>C118*BondCalculator!$B$5/12</f>
        <v>18644.726423374184</v>
      </c>
      <c r="F118" s="12">
        <f t="shared" si="12"/>
        <v>8016.0143644472882</v>
      </c>
      <c r="G118" s="12">
        <f t="shared" si="13"/>
        <v>1937520.6559006849</v>
      </c>
      <c r="H118" s="22">
        <f t="shared" si="14"/>
        <v>0.77500826236027398</v>
      </c>
      <c r="J118" s="51">
        <f t="shared" si="15"/>
        <v>1535188.97912476</v>
      </c>
      <c r="K118" s="51">
        <f>IF(N117=0,0,IF(N117&lt;BondCalculator!$B$12+BondCalculator!$B$7,N117+L118,BondCalculator!$B$12+BondCalculator!$B$7))</f>
        <v>28660.740787821473</v>
      </c>
      <c r="L118" s="51">
        <f>J118*BondCalculator!$B$5/12</f>
        <v>14712.227716612286</v>
      </c>
      <c r="M118" s="51">
        <f t="shared" si="16"/>
        <v>13948.513071209187</v>
      </c>
      <c r="N118" s="51">
        <f t="shared" si="9"/>
        <v>1521240.4660535508</v>
      </c>
      <c r="P118" s="51">
        <f t="shared" si="10"/>
        <v>3932.4987067618986</v>
      </c>
      <c r="Q118" s="63">
        <f>-PV(BondCalculator!$B$9/12,B118,0,1,0)</f>
        <v>0.56351164864184811</v>
      </c>
      <c r="S118" s="64">
        <f t="shared" si="11"/>
        <v>2216.0088295293331</v>
      </c>
    </row>
    <row r="119" spans="1:19" ht="16.05" customHeight="1" x14ac:dyDescent="0.25">
      <c r="A119" s="61" t="s">
        <v>103</v>
      </c>
      <c r="B119" s="72">
        <v>116</v>
      </c>
      <c r="C119" s="12">
        <f t="shared" si="17"/>
        <v>1937520.6559006849</v>
      </c>
      <c r="D119" s="12">
        <f>IF(G118=0,0,IF(G118&lt;BondCalculator!$B$12,G118+E119,BondCalculator!$B$12))</f>
        <v>26660.740787821473</v>
      </c>
      <c r="E119" s="12">
        <f>C119*BondCalculator!$B$5/12</f>
        <v>18567.906285714897</v>
      </c>
      <c r="F119" s="12">
        <f t="shared" si="12"/>
        <v>8092.8345021065761</v>
      </c>
      <c r="G119" s="12">
        <f t="shared" si="13"/>
        <v>1929427.8213985784</v>
      </c>
      <c r="H119" s="22">
        <f t="shared" si="14"/>
        <v>0.77177112855943131</v>
      </c>
      <c r="J119" s="51">
        <f t="shared" si="15"/>
        <v>1521240.4660535508</v>
      </c>
      <c r="K119" s="51">
        <f>IF(N118=0,0,IF(N118&lt;BondCalculator!$B$12+BondCalculator!$B$7,N118+L119,BondCalculator!$B$12+BondCalculator!$B$7))</f>
        <v>28660.740787821473</v>
      </c>
      <c r="L119" s="51">
        <f>J119*BondCalculator!$B$5/12</f>
        <v>14578.554466346528</v>
      </c>
      <c r="M119" s="51">
        <f t="shared" si="16"/>
        <v>14082.186321474945</v>
      </c>
      <c r="N119" s="51">
        <f t="shared" si="9"/>
        <v>1507158.279732076</v>
      </c>
      <c r="P119" s="51">
        <f t="shared" si="10"/>
        <v>3989.3518193683685</v>
      </c>
      <c r="Q119" s="63">
        <f>-PV(BondCalculator!$B$9/12,B119,0,1,0)</f>
        <v>0.56070810810134153</v>
      </c>
      <c r="S119" s="64">
        <f t="shared" si="11"/>
        <v>2236.8619111886828</v>
      </c>
    </row>
    <row r="120" spans="1:19" ht="16.05" customHeight="1" x14ac:dyDescent="0.25">
      <c r="A120" s="61" t="s">
        <v>103</v>
      </c>
      <c r="B120" s="72">
        <v>117</v>
      </c>
      <c r="C120" s="12">
        <f t="shared" si="17"/>
        <v>1929427.8213985784</v>
      </c>
      <c r="D120" s="12">
        <f>IF(G119=0,0,IF(G119&lt;BondCalculator!$B$12,G119+E120,BondCalculator!$B$12))</f>
        <v>26660.740787821473</v>
      </c>
      <c r="E120" s="12">
        <f>C120*BondCalculator!$B$5/12</f>
        <v>18490.349955069709</v>
      </c>
      <c r="F120" s="12">
        <f t="shared" si="12"/>
        <v>8170.3908327517638</v>
      </c>
      <c r="G120" s="12">
        <f t="shared" si="13"/>
        <v>1921257.4305658266</v>
      </c>
      <c r="H120" s="22">
        <f t="shared" si="14"/>
        <v>0.76850297222633068</v>
      </c>
      <c r="J120" s="51">
        <f t="shared" si="15"/>
        <v>1507158.279732076</v>
      </c>
      <c r="K120" s="51">
        <f>IF(N119=0,0,IF(N119&lt;BondCalculator!$B$12+BondCalculator!$B$7,N119+L120,BondCalculator!$B$12+BondCalculator!$B$7))</f>
        <v>28660.740787821473</v>
      </c>
      <c r="L120" s="51">
        <f>J120*BondCalculator!$B$5/12</f>
        <v>14443.600180765729</v>
      </c>
      <c r="M120" s="51">
        <f t="shared" si="16"/>
        <v>14217.140607055744</v>
      </c>
      <c r="N120" s="51">
        <f t="shared" si="9"/>
        <v>1492941.1391250202</v>
      </c>
      <c r="P120" s="51">
        <f t="shared" si="10"/>
        <v>4046.7497743039803</v>
      </c>
      <c r="Q120" s="63">
        <f>-PV(BondCalculator!$B$9/12,B120,0,1,0)</f>
        <v>0.55791851552372296</v>
      </c>
      <c r="S120" s="64">
        <f t="shared" si="11"/>
        <v>2257.7566267756374</v>
      </c>
    </row>
    <row r="121" spans="1:19" ht="16.05" customHeight="1" x14ac:dyDescent="0.25">
      <c r="A121" s="61" t="s">
        <v>103</v>
      </c>
      <c r="B121" s="72">
        <v>118</v>
      </c>
      <c r="C121" s="12">
        <f t="shared" si="17"/>
        <v>1921257.4305658266</v>
      </c>
      <c r="D121" s="12">
        <f>IF(G120=0,0,IF(G120&lt;BondCalculator!$B$12,G120+E121,BondCalculator!$B$12))</f>
        <v>26660.740787821473</v>
      </c>
      <c r="E121" s="12">
        <f>C121*BondCalculator!$B$5/12</f>
        <v>18412.05037625584</v>
      </c>
      <c r="F121" s="12">
        <f t="shared" si="12"/>
        <v>8248.6904115656325</v>
      </c>
      <c r="G121" s="12">
        <f t="shared" si="13"/>
        <v>1913008.740154261</v>
      </c>
      <c r="H121" s="22">
        <f t="shared" si="14"/>
        <v>0.76520349606170435</v>
      </c>
      <c r="J121" s="51">
        <f t="shared" si="15"/>
        <v>1492941.1391250202</v>
      </c>
      <c r="K121" s="51">
        <f>IF(N120=0,0,IF(N120&lt;BondCalculator!$B$12+BondCalculator!$B$7,N120+L121,BondCalculator!$B$12+BondCalculator!$B$7))</f>
        <v>28660.740787821473</v>
      </c>
      <c r="L121" s="51">
        <f>J121*BondCalculator!$B$5/12</f>
        <v>14307.352583281443</v>
      </c>
      <c r="M121" s="51">
        <f t="shared" si="16"/>
        <v>14353.38820454003</v>
      </c>
      <c r="N121" s="51">
        <f t="shared" si="9"/>
        <v>1478587.7509204801</v>
      </c>
      <c r="P121" s="51">
        <f t="shared" si="10"/>
        <v>4104.6977929743971</v>
      </c>
      <c r="Q121" s="63">
        <f>-PV(BondCalculator!$B$9/12,B121,0,1,0)</f>
        <v>0.55514280151614248</v>
      </c>
      <c r="S121" s="64">
        <f t="shared" si="11"/>
        <v>2278.6934321689337</v>
      </c>
    </row>
    <row r="122" spans="1:19" ht="16.05" customHeight="1" x14ac:dyDescent="0.25">
      <c r="A122" s="61" t="s">
        <v>103</v>
      </c>
      <c r="B122" s="72">
        <v>119</v>
      </c>
      <c r="C122" s="12">
        <f t="shared" si="17"/>
        <v>1913008.740154261</v>
      </c>
      <c r="D122" s="12">
        <f>IF(G121=0,0,IF(G121&lt;BondCalculator!$B$12,G121+E122,BondCalculator!$B$12))</f>
        <v>26660.740787821473</v>
      </c>
      <c r="E122" s="12">
        <f>C122*BondCalculator!$B$5/12</f>
        <v>18333.000426478335</v>
      </c>
      <c r="F122" s="12">
        <f t="shared" si="12"/>
        <v>8327.7403613431379</v>
      </c>
      <c r="G122" s="12">
        <f t="shared" si="13"/>
        <v>1904680.9997929179</v>
      </c>
      <c r="H122" s="22">
        <f t="shared" si="14"/>
        <v>0.76187239991716715</v>
      </c>
      <c r="J122" s="51">
        <f t="shared" si="15"/>
        <v>1478587.7509204801</v>
      </c>
      <c r="K122" s="51">
        <f>IF(N121=0,0,IF(N121&lt;BondCalculator!$B$12+BondCalculator!$B$7,N121+L122,BondCalculator!$B$12+BondCalculator!$B$7))</f>
        <v>28660.740787821473</v>
      </c>
      <c r="L122" s="51">
        <f>J122*BondCalculator!$B$5/12</f>
        <v>14169.799279654602</v>
      </c>
      <c r="M122" s="51">
        <f t="shared" si="16"/>
        <v>14490.94150816687</v>
      </c>
      <c r="N122" s="51">
        <f t="shared" si="9"/>
        <v>1464096.8094123132</v>
      </c>
      <c r="P122" s="51">
        <f t="shared" si="10"/>
        <v>4163.2011468237324</v>
      </c>
      <c r="Q122" s="63">
        <f>-PV(BondCalculator!$B$9/12,B122,0,1,0)</f>
        <v>0.55238089703098747</v>
      </c>
      <c r="S122" s="64">
        <f t="shared" si="11"/>
        <v>2299.6727840029289</v>
      </c>
    </row>
    <row r="123" spans="1:19" ht="16.05" customHeight="1" x14ac:dyDescent="0.25">
      <c r="A123" s="61" t="s">
        <v>103</v>
      </c>
      <c r="B123" s="72">
        <v>120</v>
      </c>
      <c r="C123" s="12">
        <f t="shared" si="17"/>
        <v>1904680.9997929179</v>
      </c>
      <c r="D123" s="12">
        <f>IF(G122=0,0,IF(G122&lt;BondCalculator!$B$12,G122+E123,BondCalculator!$B$12))</f>
        <v>26660.740787821473</v>
      </c>
      <c r="E123" s="12">
        <f>C123*BondCalculator!$B$5/12</f>
        <v>18253.192914682131</v>
      </c>
      <c r="F123" s="12">
        <f t="shared" si="12"/>
        <v>8407.5478731393414</v>
      </c>
      <c r="G123" s="12">
        <f t="shared" si="13"/>
        <v>1896273.4519197785</v>
      </c>
      <c r="H123" s="22">
        <f t="shared" si="14"/>
        <v>0.75850938076791141</v>
      </c>
      <c r="J123" s="51">
        <f t="shared" si="15"/>
        <v>1464096.8094123132</v>
      </c>
      <c r="K123" s="51">
        <f>IF(N122=0,0,IF(N122&lt;BondCalculator!$B$12+BondCalculator!$B$7,N122+L123,BondCalculator!$B$12+BondCalculator!$B$7))</f>
        <v>28660.740787821473</v>
      </c>
      <c r="L123" s="51">
        <f>J123*BondCalculator!$B$5/12</f>
        <v>14030.927756868003</v>
      </c>
      <c r="M123" s="51">
        <f t="shared" si="16"/>
        <v>14629.81303095347</v>
      </c>
      <c r="N123" s="51">
        <f t="shared" si="9"/>
        <v>1449466.9963813596</v>
      </c>
      <c r="P123" s="51">
        <f t="shared" si="10"/>
        <v>4222.2651578141285</v>
      </c>
      <c r="Q123" s="63">
        <f>-PV(BondCalculator!$B$9/12,B123,0,1,0)</f>
        <v>0.54963273336416663</v>
      </c>
      <c r="S123" s="64">
        <f t="shared" si="11"/>
        <v>2320.695139677664</v>
      </c>
    </row>
    <row r="124" spans="1:19" ht="16.05" customHeight="1" x14ac:dyDescent="0.25">
      <c r="A124" s="61" t="s">
        <v>104</v>
      </c>
      <c r="B124" s="72">
        <v>121</v>
      </c>
      <c r="C124" s="12">
        <f t="shared" si="17"/>
        <v>1896273.4519197785</v>
      </c>
      <c r="D124" s="12">
        <f>IF(G123=0,0,IF(G123&lt;BondCalculator!$B$12,G123+E124,BondCalculator!$B$12))</f>
        <v>26660.740787821473</v>
      </c>
      <c r="E124" s="12">
        <f>C124*BondCalculator!$B$5/12</f>
        <v>18172.620580897878</v>
      </c>
      <c r="F124" s="12">
        <f t="shared" si="12"/>
        <v>8488.1202069235951</v>
      </c>
      <c r="G124" s="12">
        <f t="shared" si="13"/>
        <v>1887785.3317128548</v>
      </c>
      <c r="H124" s="22">
        <f t="shared" si="14"/>
        <v>0.75511413268514194</v>
      </c>
      <c r="J124" s="51">
        <f t="shared" si="15"/>
        <v>1449466.9963813596</v>
      </c>
      <c r="K124" s="51">
        <f>IF(N123=0,0,IF(N123&lt;BondCalculator!$B$12+BondCalculator!$B$7,N123+L124,BondCalculator!$B$12+BondCalculator!$B$7))</f>
        <v>28660.740787821473</v>
      </c>
      <c r="L124" s="51">
        <f>J124*BondCalculator!$B$5/12</f>
        <v>13890.72538198803</v>
      </c>
      <c r="M124" s="51">
        <f t="shared" si="16"/>
        <v>14770.015405833443</v>
      </c>
      <c r="N124" s="51">
        <f t="shared" si="9"/>
        <v>1434696.9809755262</v>
      </c>
      <c r="P124" s="51">
        <f t="shared" si="10"/>
        <v>4281.8951989098477</v>
      </c>
      <c r="Q124" s="63">
        <f>-PV(BondCalculator!$B$9/12,B124,0,1,0)</f>
        <v>0.54689824215339977</v>
      </c>
      <c r="S124" s="64">
        <f t="shared" si="11"/>
        <v>2341.7609573688778</v>
      </c>
    </row>
    <row r="125" spans="1:19" ht="16.05" customHeight="1" x14ac:dyDescent="0.25">
      <c r="A125" s="61" t="s">
        <v>104</v>
      </c>
      <c r="B125" s="72">
        <v>122</v>
      </c>
      <c r="C125" s="12">
        <f t="shared" si="17"/>
        <v>1887785.3317128548</v>
      </c>
      <c r="D125" s="12">
        <f>IF(G124=0,0,IF(G124&lt;BondCalculator!$B$12,G124+E125,BondCalculator!$B$12))</f>
        <v>26660.740787821473</v>
      </c>
      <c r="E125" s="12">
        <f>C125*BondCalculator!$B$5/12</f>
        <v>18091.276095581525</v>
      </c>
      <c r="F125" s="12">
        <f t="shared" si="12"/>
        <v>8569.4646922399479</v>
      </c>
      <c r="G125" s="12">
        <f t="shared" si="13"/>
        <v>1879215.8670206149</v>
      </c>
      <c r="H125" s="22">
        <f t="shared" si="14"/>
        <v>0.75168634680824598</v>
      </c>
      <c r="J125" s="51">
        <f t="shared" si="15"/>
        <v>1434696.9809755262</v>
      </c>
      <c r="K125" s="51">
        <f>IF(N124=0,0,IF(N124&lt;BondCalculator!$B$12+BondCalculator!$B$7,N124+L125,BondCalculator!$B$12+BondCalculator!$B$7))</f>
        <v>28660.740787821473</v>
      </c>
      <c r="L125" s="51">
        <f>J125*BondCalculator!$B$5/12</f>
        <v>13749.179401015461</v>
      </c>
      <c r="M125" s="51">
        <f t="shared" si="16"/>
        <v>14911.561386806012</v>
      </c>
      <c r="N125" s="51">
        <f t="shared" si="9"/>
        <v>1419785.4195887202</v>
      </c>
      <c r="P125" s="51">
        <f t="shared" si="10"/>
        <v>4342.0966945660639</v>
      </c>
      <c r="Q125" s="63">
        <f>-PV(BondCalculator!$B$9/12,B125,0,1,0)</f>
        <v>0.54417735537651724</v>
      </c>
      <c r="S125" s="64">
        <f t="shared" si="11"/>
        <v>2362.8706960380778</v>
      </c>
    </row>
    <row r="126" spans="1:19" ht="16.05" customHeight="1" x14ac:dyDescent="0.25">
      <c r="A126" s="61" t="s">
        <v>104</v>
      </c>
      <c r="B126" s="72">
        <v>123</v>
      </c>
      <c r="C126" s="12">
        <f t="shared" si="17"/>
        <v>1879215.8670206149</v>
      </c>
      <c r="D126" s="12">
        <f>IF(G125=0,0,IF(G125&lt;BondCalculator!$B$12,G125+E126,BondCalculator!$B$12))</f>
        <v>26660.740787821473</v>
      </c>
      <c r="E126" s="12">
        <f>C126*BondCalculator!$B$5/12</f>
        <v>18009.152058947559</v>
      </c>
      <c r="F126" s="12">
        <f t="shared" si="12"/>
        <v>8651.5887288739141</v>
      </c>
      <c r="G126" s="12">
        <f t="shared" si="13"/>
        <v>1870564.2782917409</v>
      </c>
      <c r="H126" s="22">
        <f t="shared" si="14"/>
        <v>0.74822571131669635</v>
      </c>
      <c r="J126" s="51">
        <f t="shared" si="15"/>
        <v>1419785.4195887202</v>
      </c>
      <c r="K126" s="51">
        <f>IF(N125=0,0,IF(N125&lt;BondCalculator!$B$12+BondCalculator!$B$7,N125+L126,BondCalculator!$B$12+BondCalculator!$B$7))</f>
        <v>28660.740787821473</v>
      </c>
      <c r="L126" s="51">
        <f>J126*BondCalculator!$B$5/12</f>
        <v>13606.276937725235</v>
      </c>
      <c r="M126" s="51">
        <f t="shared" si="16"/>
        <v>15054.463850096237</v>
      </c>
      <c r="N126" s="51">
        <f t="shared" si="9"/>
        <v>1404730.9557386239</v>
      </c>
      <c r="P126" s="51">
        <f t="shared" si="10"/>
        <v>4402.8751212223233</v>
      </c>
      <c r="Q126" s="63">
        <f>-PV(BondCalculator!$B$9/12,B126,0,1,0)</f>
        <v>0.54147000534976852</v>
      </c>
      <c r="S126" s="64">
        <f t="shared" si="11"/>
        <v>2384.024815442614</v>
      </c>
    </row>
    <row r="127" spans="1:19" ht="16.05" customHeight="1" x14ac:dyDescent="0.25">
      <c r="A127" s="61" t="s">
        <v>104</v>
      </c>
      <c r="B127" s="72">
        <v>124</v>
      </c>
      <c r="C127" s="12">
        <f t="shared" si="17"/>
        <v>1870564.2782917409</v>
      </c>
      <c r="D127" s="12">
        <f>IF(G126=0,0,IF(G126&lt;BondCalculator!$B$12,G126+E127,BondCalculator!$B$12))</f>
        <v>26660.740787821473</v>
      </c>
      <c r="E127" s="12">
        <f>C127*BondCalculator!$B$5/12</f>
        <v>17926.241000295853</v>
      </c>
      <c r="F127" s="12">
        <f t="shared" si="12"/>
        <v>8734.4997875256195</v>
      </c>
      <c r="G127" s="12">
        <f t="shared" si="13"/>
        <v>1861829.7785042154</v>
      </c>
      <c r="H127" s="22">
        <f t="shared" si="14"/>
        <v>0.74473191140168615</v>
      </c>
      <c r="J127" s="51">
        <f t="shared" si="15"/>
        <v>1404730.9557386239</v>
      </c>
      <c r="K127" s="51">
        <f>IF(N126=0,0,IF(N126&lt;BondCalculator!$B$12+BondCalculator!$B$7,N126+L127,BondCalculator!$B$12+BondCalculator!$B$7))</f>
        <v>28660.740787821473</v>
      </c>
      <c r="L127" s="51">
        <f>J127*BondCalculator!$B$5/12</f>
        <v>13462.004992495145</v>
      </c>
      <c r="M127" s="51">
        <f t="shared" si="16"/>
        <v>15198.735795326327</v>
      </c>
      <c r="N127" s="51">
        <f t="shared" si="9"/>
        <v>1389532.2199432976</v>
      </c>
      <c r="P127" s="51">
        <f t="shared" si="10"/>
        <v>4464.2360078007077</v>
      </c>
      <c r="Q127" s="63">
        <f>-PV(BondCalculator!$B$9/12,B127,0,1,0)</f>
        <v>0.53877612472613789</v>
      </c>
      <c r="S127" s="64">
        <f t="shared" si="11"/>
        <v>2405.22377614575</v>
      </c>
    </row>
    <row r="128" spans="1:19" ht="16.05" customHeight="1" x14ac:dyDescent="0.25">
      <c r="A128" s="61" t="s">
        <v>104</v>
      </c>
      <c r="B128" s="72">
        <v>125</v>
      </c>
      <c r="C128" s="12">
        <f t="shared" si="17"/>
        <v>1861829.7785042154</v>
      </c>
      <c r="D128" s="12">
        <f>IF(G127=0,0,IF(G127&lt;BondCalculator!$B$12,G127+E128,BondCalculator!$B$12))</f>
        <v>26660.740787821473</v>
      </c>
      <c r="E128" s="12">
        <f>C128*BondCalculator!$B$5/12</f>
        <v>17842.535377332064</v>
      </c>
      <c r="F128" s="12">
        <f t="shared" si="12"/>
        <v>8818.2054104894087</v>
      </c>
      <c r="G128" s="12">
        <f t="shared" si="13"/>
        <v>1853011.5730937261</v>
      </c>
      <c r="H128" s="22">
        <f t="shared" si="14"/>
        <v>0.74120462923749042</v>
      </c>
      <c r="J128" s="51">
        <f t="shared" si="15"/>
        <v>1389532.2199432976</v>
      </c>
      <c r="K128" s="51">
        <f>IF(N127=0,0,IF(N127&lt;BondCalculator!$B$12+BondCalculator!$B$7,N127+L128,BondCalculator!$B$12+BondCalculator!$B$7))</f>
        <v>28660.740787821473</v>
      </c>
      <c r="L128" s="51">
        <f>J128*BondCalculator!$B$5/12</f>
        <v>13316.35044112327</v>
      </c>
      <c r="M128" s="51">
        <f t="shared" si="16"/>
        <v>15344.390346698203</v>
      </c>
      <c r="N128" s="51">
        <f t="shared" si="9"/>
        <v>1374187.8295965993</v>
      </c>
      <c r="P128" s="51">
        <f t="shared" si="10"/>
        <v>4526.1849362087942</v>
      </c>
      <c r="Q128" s="63">
        <f>-PV(BondCalculator!$B$9/12,B128,0,1,0)</f>
        <v>0.5360956464936697</v>
      </c>
      <c r="S128" s="64">
        <f t="shared" si="11"/>
        <v>2426.4680395267628</v>
      </c>
    </row>
    <row r="129" spans="1:19" ht="16.05" customHeight="1" x14ac:dyDescent="0.25">
      <c r="A129" s="61" t="s">
        <v>104</v>
      </c>
      <c r="B129" s="72">
        <v>126</v>
      </c>
      <c r="C129" s="12">
        <f t="shared" si="17"/>
        <v>1853011.5730937261</v>
      </c>
      <c r="D129" s="12">
        <f>IF(G128=0,0,IF(G128&lt;BondCalculator!$B$12,G128+E129,BondCalculator!$B$12))</f>
        <v>26660.740787821473</v>
      </c>
      <c r="E129" s="12">
        <f>C129*BondCalculator!$B$5/12</f>
        <v>17758.027575481541</v>
      </c>
      <c r="F129" s="12">
        <f t="shared" si="12"/>
        <v>8902.7132123399315</v>
      </c>
      <c r="G129" s="12">
        <f t="shared" si="13"/>
        <v>1844108.8598813862</v>
      </c>
      <c r="H129" s="22">
        <f t="shared" si="14"/>
        <v>0.73764354395255449</v>
      </c>
      <c r="J129" s="51">
        <f t="shared" si="15"/>
        <v>1374187.8295965993</v>
      </c>
      <c r="K129" s="51">
        <f>IF(N128=0,0,IF(N128&lt;BondCalculator!$B$12+BondCalculator!$B$7,N128+L129,BondCalculator!$B$12+BondCalculator!$B$7))</f>
        <v>28660.740787821473</v>
      </c>
      <c r="L129" s="51">
        <f>J129*BondCalculator!$B$5/12</f>
        <v>13169.300033634077</v>
      </c>
      <c r="M129" s="51">
        <f t="shared" si="16"/>
        <v>15491.440754187395</v>
      </c>
      <c r="N129" s="51">
        <f t="shared" si="9"/>
        <v>1358696.388842412</v>
      </c>
      <c r="P129" s="51">
        <f t="shared" si="10"/>
        <v>4588.7275418474637</v>
      </c>
      <c r="Q129" s="63">
        <f>-PV(BondCalculator!$B$9/12,B129,0,1,0)</f>
        <v>0.53342850397380071</v>
      </c>
      <c r="S129" s="64">
        <f t="shared" si="11"/>
        <v>2447.7580677910687</v>
      </c>
    </row>
    <row r="130" spans="1:19" ht="16.05" customHeight="1" x14ac:dyDescent="0.25">
      <c r="A130" s="61" t="s">
        <v>104</v>
      </c>
      <c r="B130" s="72">
        <v>127</v>
      </c>
      <c r="C130" s="12">
        <f t="shared" si="17"/>
        <v>1844108.8598813862</v>
      </c>
      <c r="D130" s="12">
        <f>IF(G129=0,0,IF(G129&lt;BondCalculator!$B$12,G129+E130,BondCalculator!$B$12))</f>
        <v>26660.740787821473</v>
      </c>
      <c r="E130" s="12">
        <f>C130*BondCalculator!$B$5/12</f>
        <v>17672.709907196619</v>
      </c>
      <c r="F130" s="12">
        <f t="shared" si="12"/>
        <v>8988.030880624854</v>
      </c>
      <c r="G130" s="12">
        <f t="shared" si="13"/>
        <v>1835120.8290007613</v>
      </c>
      <c r="H130" s="22">
        <f t="shared" si="14"/>
        <v>0.73404833160030447</v>
      </c>
      <c r="J130" s="51">
        <f t="shared" si="15"/>
        <v>1358696.388842412</v>
      </c>
      <c r="K130" s="51">
        <f>IF(N129=0,0,IF(N129&lt;BondCalculator!$B$12+BondCalculator!$B$7,N129+L130,BondCalculator!$B$12+BondCalculator!$B$7))</f>
        <v>28660.740787821473</v>
      </c>
      <c r="L130" s="51">
        <f>J130*BondCalculator!$B$5/12</f>
        <v>13020.840393073117</v>
      </c>
      <c r="M130" s="51">
        <f t="shared" si="16"/>
        <v>15639.900394748356</v>
      </c>
      <c r="N130" s="51">
        <f t="shared" si="9"/>
        <v>1343056.4884476636</v>
      </c>
      <c r="P130" s="51">
        <f t="shared" si="10"/>
        <v>4651.8695141235021</v>
      </c>
      <c r="Q130" s="63">
        <f>-PV(BondCalculator!$B$9/12,B130,0,1,0)</f>
        <v>0.53077463081970233</v>
      </c>
      <c r="S130" s="64">
        <f t="shared" si="11"/>
        <v>2469.09432398033</v>
      </c>
    </row>
    <row r="131" spans="1:19" ht="16.05" customHeight="1" x14ac:dyDescent="0.25">
      <c r="A131" s="61" t="s">
        <v>104</v>
      </c>
      <c r="B131" s="72">
        <v>128</v>
      </c>
      <c r="C131" s="12">
        <f t="shared" si="17"/>
        <v>1835120.8290007613</v>
      </c>
      <c r="D131" s="12">
        <f>IF(G130=0,0,IF(G130&lt;BondCalculator!$B$12,G130+E131,BondCalculator!$B$12))</f>
        <v>26660.740787821473</v>
      </c>
      <c r="E131" s="12">
        <f>C131*BondCalculator!$B$5/12</f>
        <v>17586.574611257296</v>
      </c>
      <c r="F131" s="12">
        <f t="shared" si="12"/>
        <v>9074.1661765641766</v>
      </c>
      <c r="G131" s="12">
        <f t="shared" si="13"/>
        <v>1826046.6628241972</v>
      </c>
      <c r="H131" s="22">
        <f t="shared" si="14"/>
        <v>0.7304186651296789</v>
      </c>
      <c r="J131" s="51">
        <f t="shared" si="15"/>
        <v>1343056.4884476636</v>
      </c>
      <c r="K131" s="51">
        <f>IF(N130=0,0,IF(N130&lt;BondCalculator!$B$12+BondCalculator!$B$7,N130+L131,BondCalculator!$B$12+BondCalculator!$B$7))</f>
        <v>28660.740787821473</v>
      </c>
      <c r="L131" s="51">
        <f>J131*BondCalculator!$B$5/12</f>
        <v>12870.95801429011</v>
      </c>
      <c r="M131" s="51">
        <f t="shared" si="16"/>
        <v>15789.782773531362</v>
      </c>
      <c r="N131" s="51">
        <f t="shared" si="9"/>
        <v>1327266.7056741323</v>
      </c>
      <c r="P131" s="51">
        <f t="shared" si="10"/>
        <v>4715.6165969671856</v>
      </c>
      <c r="Q131" s="63">
        <f>-PV(BondCalculator!$B$9/12,B131,0,1,0)</f>
        <v>0.52813396101462928</v>
      </c>
      <c r="S131" s="64">
        <f t="shared" si="11"/>
        <v>2490.4772719826065</v>
      </c>
    </row>
    <row r="132" spans="1:19" ht="16.05" customHeight="1" x14ac:dyDescent="0.25">
      <c r="A132" s="61" t="s">
        <v>104</v>
      </c>
      <c r="B132" s="72">
        <v>129</v>
      </c>
      <c r="C132" s="12">
        <f t="shared" si="17"/>
        <v>1826046.6628241972</v>
      </c>
      <c r="D132" s="12">
        <f>IF(G131=0,0,IF(G131&lt;BondCalculator!$B$12,G131+E132,BondCalculator!$B$12))</f>
        <v>26660.740787821473</v>
      </c>
      <c r="E132" s="12">
        <f>C132*BondCalculator!$B$5/12</f>
        <v>17499.613852065224</v>
      </c>
      <c r="F132" s="12">
        <f t="shared" si="12"/>
        <v>9161.1269357562487</v>
      </c>
      <c r="G132" s="12">
        <f t="shared" si="13"/>
        <v>1816885.5358884409</v>
      </c>
      <c r="H132" s="22">
        <f t="shared" si="14"/>
        <v>0.72675421435537635</v>
      </c>
      <c r="J132" s="51">
        <f t="shared" si="15"/>
        <v>1327266.7056741323</v>
      </c>
      <c r="K132" s="51">
        <f>IF(N131=0,0,IF(N131&lt;BondCalculator!$B$12+BondCalculator!$B$7,N131+L132,BondCalculator!$B$12+BondCalculator!$B$7))</f>
        <v>28660.740787821473</v>
      </c>
      <c r="L132" s="51">
        <f>J132*BondCalculator!$B$5/12</f>
        <v>12719.639262710436</v>
      </c>
      <c r="M132" s="51">
        <f t="shared" si="16"/>
        <v>15941.101525111037</v>
      </c>
      <c r="N132" s="51">
        <f t="shared" ref="N132:N195" si="18">J132-M132</f>
        <v>1311325.6041490212</v>
      </c>
      <c r="P132" s="51">
        <f t="shared" ref="P132:P195" si="19">E132-L132</f>
        <v>4779.9745893547879</v>
      </c>
      <c r="Q132" s="63">
        <f>-PV(BondCalculator!$B$9/12,B132,0,1,0)</f>
        <v>0.52550642887027799</v>
      </c>
      <c r="S132" s="64">
        <f t="shared" ref="S132:S195" si="20">P132*Q132</f>
        <v>2511.9073765425082</v>
      </c>
    </row>
    <row r="133" spans="1:19" ht="16.05" customHeight="1" x14ac:dyDescent="0.25">
      <c r="A133" s="61" t="s">
        <v>104</v>
      </c>
      <c r="B133" s="72">
        <v>130</v>
      </c>
      <c r="C133" s="12">
        <f t="shared" si="17"/>
        <v>1816885.5358884409</v>
      </c>
      <c r="D133" s="12">
        <f>IF(G132=0,0,IF(G132&lt;BondCalculator!$B$12,G132+E133,BondCalculator!$B$12))</f>
        <v>26660.740787821473</v>
      </c>
      <c r="E133" s="12">
        <f>C133*BondCalculator!$B$5/12</f>
        <v>17411.819718930892</v>
      </c>
      <c r="F133" s="12">
        <f t="shared" ref="F133:F196" si="21">D133-E133</f>
        <v>9248.9210688905805</v>
      </c>
      <c r="G133" s="12">
        <f t="shared" ref="G133:G196" si="22">IF(ROUND(C133-F133,2)=0,0,C133-F133)</f>
        <v>1807636.6148195504</v>
      </c>
      <c r="H133" s="22">
        <f t="shared" ref="H133:H196" si="23">IF($C$4=0,0,G133/$C$4)</f>
        <v>0.72305464592782021</v>
      </c>
      <c r="J133" s="51">
        <f t="shared" ref="J133:J196" si="24">IF(ROUND(N132,0)&gt;0,N132,0)</f>
        <v>1311325.6041490212</v>
      </c>
      <c r="K133" s="51">
        <f>IF(N132=0,0,IF(N132&lt;BondCalculator!$B$12+BondCalculator!$B$7,N132+L133,BondCalculator!$B$12+BondCalculator!$B$7))</f>
        <v>28660.740787821473</v>
      </c>
      <c r="L133" s="51">
        <f>J133*BondCalculator!$B$5/12</f>
        <v>12566.870373094787</v>
      </c>
      <c r="M133" s="51">
        <f t="shared" ref="M133:M196" si="25">IF(K133-L133&gt;N132,N132,K133-L133)</f>
        <v>16093.870414726685</v>
      </c>
      <c r="N133" s="51">
        <f t="shared" si="18"/>
        <v>1295231.7337342945</v>
      </c>
      <c r="P133" s="51">
        <f t="shared" si="19"/>
        <v>4844.9493458361048</v>
      </c>
      <c r="Q133" s="63">
        <f>-PV(BondCalculator!$B$9/12,B133,0,1,0)</f>
        <v>0.52289196902515223</v>
      </c>
      <c r="S133" s="64">
        <f t="shared" si="20"/>
        <v>2533.3851032713642</v>
      </c>
    </row>
    <row r="134" spans="1:19" ht="16.05" customHeight="1" x14ac:dyDescent="0.25">
      <c r="A134" s="61" t="s">
        <v>104</v>
      </c>
      <c r="B134" s="72">
        <v>131</v>
      </c>
      <c r="C134" s="12">
        <f t="shared" ref="C134:C197" si="26">G133</f>
        <v>1807636.6148195504</v>
      </c>
      <c r="D134" s="12">
        <f>IF(G133=0,0,IF(G133&lt;BondCalculator!$B$12,G133+E134,BondCalculator!$B$12))</f>
        <v>26660.740787821473</v>
      </c>
      <c r="E134" s="12">
        <f>C134*BondCalculator!$B$5/12</f>
        <v>17323.184225354027</v>
      </c>
      <c r="F134" s="12">
        <f t="shared" si="21"/>
        <v>9337.5565624674455</v>
      </c>
      <c r="G134" s="12">
        <f t="shared" si="22"/>
        <v>1798299.0582570829</v>
      </c>
      <c r="H134" s="22">
        <f t="shared" si="23"/>
        <v>0.71931962330283317</v>
      </c>
      <c r="J134" s="51">
        <f t="shared" si="24"/>
        <v>1295231.7337342945</v>
      </c>
      <c r="K134" s="51">
        <f>IF(N133=0,0,IF(N133&lt;BondCalculator!$B$12+BondCalculator!$B$7,N133+L134,BondCalculator!$B$12+BondCalculator!$B$7))</f>
        <v>28660.740787821473</v>
      </c>
      <c r="L134" s="51">
        <f>J134*BondCalculator!$B$5/12</f>
        <v>12412.637448286989</v>
      </c>
      <c r="M134" s="51">
        <f t="shared" si="25"/>
        <v>16248.103339534484</v>
      </c>
      <c r="N134" s="51">
        <f t="shared" si="18"/>
        <v>1278983.6303947601</v>
      </c>
      <c r="P134" s="51">
        <f t="shared" si="19"/>
        <v>4910.5467770670384</v>
      </c>
      <c r="Q134" s="63">
        <f>-PV(BondCalculator!$B$9/12,B134,0,1,0)</f>
        <v>0.52029051644293767</v>
      </c>
      <c r="S134" s="64">
        <f t="shared" si="20"/>
        <v>2554.9109186574124</v>
      </c>
    </row>
    <row r="135" spans="1:19" ht="16.05" customHeight="1" x14ac:dyDescent="0.25">
      <c r="A135" s="61" t="s">
        <v>104</v>
      </c>
      <c r="B135" s="72">
        <v>132</v>
      </c>
      <c r="C135" s="12">
        <f t="shared" si="26"/>
        <v>1798299.0582570829</v>
      </c>
      <c r="D135" s="12">
        <f>IF(G134=0,0,IF(G134&lt;BondCalculator!$B$12,G134+E135,BondCalculator!$B$12))</f>
        <v>26660.740787821473</v>
      </c>
      <c r="E135" s="12">
        <f>C135*BondCalculator!$B$5/12</f>
        <v>17233.699308297048</v>
      </c>
      <c r="F135" s="12">
        <f t="shared" si="21"/>
        <v>9427.0414795244251</v>
      </c>
      <c r="G135" s="12">
        <f t="shared" si="22"/>
        <v>1788872.0167775585</v>
      </c>
      <c r="H135" s="22">
        <f t="shared" si="23"/>
        <v>0.71554880671102339</v>
      </c>
      <c r="J135" s="51">
        <f t="shared" si="24"/>
        <v>1278983.6303947601</v>
      </c>
      <c r="K135" s="51">
        <f>IF(N134=0,0,IF(N134&lt;BondCalculator!$B$12+BondCalculator!$B$7,N134+L135,BondCalculator!$B$12+BondCalculator!$B$7))</f>
        <v>28660.740787821473</v>
      </c>
      <c r="L135" s="51">
        <f>J135*BondCalculator!$B$5/12</f>
        <v>12256.926457949785</v>
      </c>
      <c r="M135" s="51">
        <f t="shared" si="25"/>
        <v>16403.81432987169</v>
      </c>
      <c r="N135" s="51">
        <f t="shared" si="18"/>
        <v>1262579.8160648884</v>
      </c>
      <c r="P135" s="51">
        <f t="shared" si="19"/>
        <v>4976.7728503472626</v>
      </c>
      <c r="Q135" s="63">
        <f>-PV(BondCalculator!$B$9/12,B135,0,1,0)</f>
        <v>0.51770200641088326</v>
      </c>
      <c r="S135" s="64">
        <f t="shared" si="20"/>
        <v>2576.4852900759884</v>
      </c>
    </row>
    <row r="136" spans="1:19" ht="16.05" customHeight="1" x14ac:dyDescent="0.25">
      <c r="A136" s="61" t="s">
        <v>105</v>
      </c>
      <c r="B136" s="72">
        <v>133</v>
      </c>
      <c r="C136" s="12">
        <f t="shared" si="26"/>
        <v>1788872.0167775585</v>
      </c>
      <c r="D136" s="12">
        <f>IF(G135=0,0,IF(G135&lt;BondCalculator!$B$12,G135+E136,BondCalculator!$B$12))</f>
        <v>26660.740787821473</v>
      </c>
      <c r="E136" s="12">
        <f>C136*BondCalculator!$B$5/12</f>
        <v>17143.356827451604</v>
      </c>
      <c r="F136" s="12">
        <f t="shared" si="21"/>
        <v>9517.3839603698689</v>
      </c>
      <c r="G136" s="12">
        <f t="shared" si="22"/>
        <v>1779354.6328171885</v>
      </c>
      <c r="H136" s="22">
        <f t="shared" si="23"/>
        <v>0.71174185312687543</v>
      </c>
      <c r="J136" s="51">
        <f t="shared" si="24"/>
        <v>1262579.8160648884</v>
      </c>
      <c r="K136" s="51">
        <f>IF(N135=0,0,IF(N135&lt;BondCalculator!$B$12+BondCalculator!$B$7,N135+L136,BondCalculator!$B$12+BondCalculator!$B$7))</f>
        <v>28660.740787821473</v>
      </c>
      <c r="L136" s="51">
        <f>J136*BondCalculator!$B$5/12</f>
        <v>12099.723237288514</v>
      </c>
      <c r="M136" s="51">
        <f t="shared" si="25"/>
        <v>16561.017550532961</v>
      </c>
      <c r="N136" s="51">
        <f t="shared" si="18"/>
        <v>1246018.7985143554</v>
      </c>
      <c r="P136" s="51">
        <f t="shared" si="19"/>
        <v>5043.63359016309</v>
      </c>
      <c r="Q136" s="63">
        <f>-PV(BondCalculator!$B$9/12,B136,0,1,0)</f>
        <v>0.51512637453819243</v>
      </c>
      <c r="S136" s="64">
        <f t="shared" si="20"/>
        <v>2598.1086857997602</v>
      </c>
    </row>
    <row r="137" spans="1:19" ht="16.05" customHeight="1" x14ac:dyDescent="0.25">
      <c r="A137" s="61" t="s">
        <v>105</v>
      </c>
      <c r="B137" s="72">
        <v>134</v>
      </c>
      <c r="C137" s="12">
        <f t="shared" si="26"/>
        <v>1779354.6328171885</v>
      </c>
      <c r="D137" s="12">
        <f>IF(G136=0,0,IF(G136&lt;BondCalculator!$B$12,G136+E137,BondCalculator!$B$12))</f>
        <v>26660.740787821473</v>
      </c>
      <c r="E137" s="12">
        <f>C137*BondCalculator!$B$5/12</f>
        <v>17052.148564498057</v>
      </c>
      <c r="F137" s="12">
        <f t="shared" si="21"/>
        <v>9608.592223323416</v>
      </c>
      <c r="G137" s="12">
        <f t="shared" si="22"/>
        <v>1769746.0405938651</v>
      </c>
      <c r="H137" s="22">
        <f t="shared" si="23"/>
        <v>0.70789841623754601</v>
      </c>
      <c r="J137" s="51">
        <f t="shared" si="24"/>
        <v>1246018.7985143554</v>
      </c>
      <c r="K137" s="51">
        <f>IF(N136=0,0,IF(N136&lt;BondCalculator!$B$12+BondCalculator!$B$7,N136+L137,BondCalculator!$B$12+BondCalculator!$B$7))</f>
        <v>28660.740787821473</v>
      </c>
      <c r="L137" s="51">
        <f>J137*BondCalculator!$B$5/12</f>
        <v>11941.013485762574</v>
      </c>
      <c r="M137" s="51">
        <f t="shared" si="25"/>
        <v>16719.727302058898</v>
      </c>
      <c r="N137" s="51">
        <f t="shared" si="18"/>
        <v>1229299.0712122966</v>
      </c>
      <c r="P137" s="51">
        <f t="shared" si="19"/>
        <v>5111.1350787354822</v>
      </c>
      <c r="Q137" s="63">
        <f>-PV(BondCalculator!$B$9/12,B137,0,1,0)</f>
        <v>0.51256355675442045</v>
      </c>
      <c r="S137" s="64">
        <f t="shared" si="20"/>
        <v>2619.7815750089435</v>
      </c>
    </row>
    <row r="138" spans="1:19" ht="16.05" customHeight="1" x14ac:dyDescent="0.25">
      <c r="A138" s="61" t="s">
        <v>105</v>
      </c>
      <c r="B138" s="72">
        <v>135</v>
      </c>
      <c r="C138" s="12">
        <f t="shared" si="26"/>
        <v>1769746.0405938651</v>
      </c>
      <c r="D138" s="12">
        <f>IF(G137=0,0,IF(G137&lt;BondCalculator!$B$12,G137+E138,BondCalculator!$B$12))</f>
        <v>26660.740787821473</v>
      </c>
      <c r="E138" s="12">
        <f>C138*BondCalculator!$B$5/12</f>
        <v>16960.066222357873</v>
      </c>
      <c r="F138" s="12">
        <f t="shared" si="21"/>
        <v>9700.6745654635997</v>
      </c>
      <c r="G138" s="12">
        <f t="shared" si="22"/>
        <v>1760045.3660284015</v>
      </c>
      <c r="H138" s="22">
        <f t="shared" si="23"/>
        <v>0.70401814641136062</v>
      </c>
      <c r="J138" s="51">
        <f t="shared" si="24"/>
        <v>1229299.0712122966</v>
      </c>
      <c r="K138" s="51">
        <f>IF(N137=0,0,IF(N137&lt;BondCalculator!$B$12+BondCalculator!$B$7,N137+L138,BondCalculator!$B$12+BondCalculator!$B$7))</f>
        <v>28660.740787821473</v>
      </c>
      <c r="L138" s="51">
        <f>J138*BondCalculator!$B$5/12</f>
        <v>11780.78276578451</v>
      </c>
      <c r="M138" s="51">
        <f t="shared" si="25"/>
        <v>16879.958022036961</v>
      </c>
      <c r="N138" s="51">
        <f t="shared" si="18"/>
        <v>1212419.1131902596</v>
      </c>
      <c r="P138" s="51">
        <f t="shared" si="19"/>
        <v>5179.2834565733629</v>
      </c>
      <c r="Q138" s="63">
        <f>-PV(BondCalculator!$B$9/12,B138,0,1,0)</f>
        <v>0.51001348930788115</v>
      </c>
      <c r="S138" s="64">
        <f t="shared" si="20"/>
        <v>2641.5044278015644</v>
      </c>
    </row>
    <row r="139" spans="1:19" ht="16.05" customHeight="1" x14ac:dyDescent="0.25">
      <c r="A139" s="61" t="s">
        <v>105</v>
      </c>
      <c r="B139" s="72">
        <v>136</v>
      </c>
      <c r="C139" s="12">
        <f t="shared" si="26"/>
        <v>1760045.3660284015</v>
      </c>
      <c r="D139" s="12">
        <f>IF(G138=0,0,IF(G138&lt;BondCalculator!$B$12,G138+E139,BondCalculator!$B$12))</f>
        <v>26660.740787821473</v>
      </c>
      <c r="E139" s="12">
        <f>C139*BondCalculator!$B$5/12</f>
        <v>16867.10142443885</v>
      </c>
      <c r="F139" s="12">
        <f t="shared" si="21"/>
        <v>9793.6393633826228</v>
      </c>
      <c r="G139" s="12">
        <f t="shared" si="22"/>
        <v>1750251.7266650188</v>
      </c>
      <c r="H139" s="22">
        <f t="shared" si="23"/>
        <v>0.70010069066600755</v>
      </c>
      <c r="J139" s="51">
        <f t="shared" si="24"/>
        <v>1212419.1131902596</v>
      </c>
      <c r="K139" s="51">
        <f>IF(N138=0,0,IF(N138&lt;BondCalculator!$B$12+BondCalculator!$B$7,N138+L139,BondCalculator!$B$12+BondCalculator!$B$7))</f>
        <v>28660.740787821473</v>
      </c>
      <c r="L139" s="51">
        <f>J139*BondCalculator!$B$5/12</f>
        <v>11619.016501406653</v>
      </c>
      <c r="M139" s="51">
        <f t="shared" si="25"/>
        <v>17041.724286414821</v>
      </c>
      <c r="N139" s="51">
        <f t="shared" si="18"/>
        <v>1195377.3889038446</v>
      </c>
      <c r="P139" s="51">
        <f t="shared" si="19"/>
        <v>5248.0849230321965</v>
      </c>
      <c r="Q139" s="63">
        <f>-PV(BondCalculator!$B$9/12,B139,0,1,0)</f>
        <v>0.5074761087640608</v>
      </c>
      <c r="S139" s="64">
        <f t="shared" si="20"/>
        <v>2663.2777152037147</v>
      </c>
    </row>
    <row r="140" spans="1:19" ht="16.05" customHeight="1" x14ac:dyDescent="0.25">
      <c r="A140" s="61" t="s">
        <v>105</v>
      </c>
      <c r="B140" s="72">
        <v>137</v>
      </c>
      <c r="C140" s="12">
        <f t="shared" si="26"/>
        <v>1750251.7266650188</v>
      </c>
      <c r="D140" s="12">
        <f>IF(G139=0,0,IF(G139&lt;BondCalculator!$B$12,G139+E140,BondCalculator!$B$12))</f>
        <v>26660.740787821473</v>
      </c>
      <c r="E140" s="12">
        <f>C140*BondCalculator!$B$5/12</f>
        <v>16773.245713873097</v>
      </c>
      <c r="F140" s="12">
        <f t="shared" si="21"/>
        <v>9887.4950739483756</v>
      </c>
      <c r="G140" s="12">
        <f t="shared" si="22"/>
        <v>1740364.2315910705</v>
      </c>
      <c r="H140" s="22">
        <f t="shared" si="23"/>
        <v>0.69614569263642823</v>
      </c>
      <c r="J140" s="51">
        <f t="shared" si="24"/>
        <v>1195377.3889038446</v>
      </c>
      <c r="K140" s="51">
        <f>IF(N139=0,0,IF(N139&lt;BondCalculator!$B$12+BondCalculator!$B$7,N139+L140,BondCalculator!$B$12+BondCalculator!$B$7))</f>
        <v>28660.740787821473</v>
      </c>
      <c r="L140" s="51">
        <f>J140*BondCalculator!$B$5/12</f>
        <v>11455.699976995178</v>
      </c>
      <c r="M140" s="51">
        <f t="shared" si="25"/>
        <v>17205.040810826293</v>
      </c>
      <c r="N140" s="51">
        <f t="shared" si="18"/>
        <v>1178172.3480930184</v>
      </c>
      <c r="P140" s="51">
        <f t="shared" si="19"/>
        <v>5317.5457368779189</v>
      </c>
      <c r="Q140" s="63">
        <f>-PV(BondCalculator!$B$9/12,B140,0,1,0)</f>
        <v>0.50495135200404062</v>
      </c>
      <c r="S140" s="64">
        <f t="shared" si="20"/>
        <v>2685.1019091798275</v>
      </c>
    </row>
    <row r="141" spans="1:19" ht="16.05" customHeight="1" x14ac:dyDescent="0.25">
      <c r="A141" s="61" t="s">
        <v>105</v>
      </c>
      <c r="B141" s="72">
        <v>138</v>
      </c>
      <c r="C141" s="12">
        <f t="shared" si="26"/>
        <v>1740364.2315910705</v>
      </c>
      <c r="D141" s="12">
        <f>IF(G140=0,0,IF(G140&lt;BondCalculator!$B$12,G140+E141,BondCalculator!$B$12))</f>
        <v>26660.740787821473</v>
      </c>
      <c r="E141" s="12">
        <f>C141*BondCalculator!$B$5/12</f>
        <v>16678.49055274776</v>
      </c>
      <c r="F141" s="12">
        <f t="shared" si="21"/>
        <v>9982.2502350737122</v>
      </c>
      <c r="G141" s="12">
        <f t="shared" si="22"/>
        <v>1730381.9813559968</v>
      </c>
      <c r="H141" s="22">
        <f t="shared" si="23"/>
        <v>0.6921527925423987</v>
      </c>
      <c r="J141" s="51">
        <f t="shared" si="24"/>
        <v>1178172.3480930184</v>
      </c>
      <c r="K141" s="51">
        <f>IF(N140=0,0,IF(N140&lt;BondCalculator!$B$12+BondCalculator!$B$7,N140+L141,BondCalculator!$B$12+BondCalculator!$B$7))</f>
        <v>28660.740787821473</v>
      </c>
      <c r="L141" s="51">
        <f>J141*BondCalculator!$B$5/12</f>
        <v>11290.818335891427</v>
      </c>
      <c r="M141" s="51">
        <f t="shared" si="25"/>
        <v>17369.922451930048</v>
      </c>
      <c r="N141" s="51">
        <f t="shared" si="18"/>
        <v>1160802.4256410883</v>
      </c>
      <c r="P141" s="51">
        <f t="shared" si="19"/>
        <v>5387.6722168563338</v>
      </c>
      <c r="Q141" s="63">
        <f>-PV(BondCalculator!$B$9/12,B141,0,1,0)</f>
        <v>0.50243915622292612</v>
      </c>
      <c r="S141" s="64">
        <f t="shared" si="20"/>
        <v>2706.977482642998</v>
      </c>
    </row>
    <row r="142" spans="1:19" ht="16.05" customHeight="1" x14ac:dyDescent="0.25">
      <c r="A142" s="61" t="s">
        <v>105</v>
      </c>
      <c r="B142" s="72">
        <v>139</v>
      </c>
      <c r="C142" s="12">
        <f t="shared" si="26"/>
        <v>1730381.9813559968</v>
      </c>
      <c r="D142" s="12">
        <f>IF(G141=0,0,IF(G141&lt;BondCalculator!$B$12,G141+E142,BondCalculator!$B$12))</f>
        <v>26660.740787821473</v>
      </c>
      <c r="E142" s="12">
        <f>C142*BondCalculator!$B$5/12</f>
        <v>16582.827321328303</v>
      </c>
      <c r="F142" s="12">
        <f t="shared" si="21"/>
        <v>10077.91346649317</v>
      </c>
      <c r="G142" s="12">
        <f t="shared" si="22"/>
        <v>1720304.0678895037</v>
      </c>
      <c r="H142" s="22">
        <f t="shared" si="23"/>
        <v>0.6881216271558015</v>
      </c>
      <c r="J142" s="51">
        <f t="shared" si="24"/>
        <v>1160802.4256410883</v>
      </c>
      <c r="K142" s="51">
        <f>IF(N141=0,0,IF(N141&lt;BondCalculator!$B$12+BondCalculator!$B$7,N141+L142,BondCalculator!$B$12+BondCalculator!$B$7))</f>
        <v>28660.740787821473</v>
      </c>
      <c r="L142" s="51">
        <f>J142*BondCalculator!$B$5/12</f>
        <v>11124.356579060432</v>
      </c>
      <c r="M142" s="51">
        <f t="shared" si="25"/>
        <v>17536.384208761039</v>
      </c>
      <c r="N142" s="51">
        <f t="shared" si="18"/>
        <v>1143266.0414323271</v>
      </c>
      <c r="P142" s="51">
        <f t="shared" si="19"/>
        <v>5458.4707422678712</v>
      </c>
      <c r="Q142" s="63">
        <f>-PV(BondCalculator!$B$9/12,B142,0,1,0)</f>
        <v>0.49993945892828473</v>
      </c>
      <c r="S142" s="64">
        <f t="shared" si="20"/>
        <v>2728.9049094652723</v>
      </c>
    </row>
    <row r="143" spans="1:19" ht="16.05" customHeight="1" x14ac:dyDescent="0.25">
      <c r="A143" s="61" t="s">
        <v>105</v>
      </c>
      <c r="B143" s="72">
        <v>140</v>
      </c>
      <c r="C143" s="12">
        <f t="shared" si="26"/>
        <v>1720304.0678895037</v>
      </c>
      <c r="D143" s="12">
        <f>IF(G142=0,0,IF(G142&lt;BondCalculator!$B$12,G142+E143,BondCalculator!$B$12))</f>
        <v>26660.740787821473</v>
      </c>
      <c r="E143" s="12">
        <f>C143*BondCalculator!$B$5/12</f>
        <v>16486.24731727441</v>
      </c>
      <c r="F143" s="12">
        <f t="shared" si="21"/>
        <v>10174.493470547062</v>
      </c>
      <c r="G143" s="12">
        <f t="shared" si="22"/>
        <v>1710129.5744189566</v>
      </c>
      <c r="H143" s="22">
        <f t="shared" si="23"/>
        <v>0.68405182976758261</v>
      </c>
      <c r="J143" s="51">
        <f t="shared" si="24"/>
        <v>1143266.0414323271</v>
      </c>
      <c r="K143" s="51">
        <f>IF(N142=0,0,IF(N142&lt;BondCalculator!$B$12+BondCalculator!$B$7,N142+L143,BondCalculator!$B$12+BondCalculator!$B$7))</f>
        <v>28660.740787821473</v>
      </c>
      <c r="L143" s="51">
        <f>J143*BondCalculator!$B$5/12</f>
        <v>10956.299563726468</v>
      </c>
      <c r="M143" s="51">
        <f t="shared" si="25"/>
        <v>17704.441224095004</v>
      </c>
      <c r="N143" s="51">
        <f t="shared" si="18"/>
        <v>1125561.6002082322</v>
      </c>
      <c r="P143" s="51">
        <f t="shared" si="19"/>
        <v>5529.9477535479418</v>
      </c>
      <c r="Q143" s="63">
        <f>-PV(BondCalculator!$B$9/12,B143,0,1,0)</f>
        <v>0.49745219793859191</v>
      </c>
      <c r="S143" s="64">
        <f t="shared" si="20"/>
        <v>2750.8846644880023</v>
      </c>
    </row>
    <row r="144" spans="1:19" ht="16.05" customHeight="1" x14ac:dyDescent="0.25">
      <c r="A144" s="61" t="s">
        <v>105</v>
      </c>
      <c r="B144" s="72">
        <v>141</v>
      </c>
      <c r="C144" s="12">
        <f t="shared" si="26"/>
        <v>1710129.5744189566</v>
      </c>
      <c r="D144" s="12">
        <f>IF(G143=0,0,IF(G143&lt;BondCalculator!$B$12,G143+E144,BondCalculator!$B$12))</f>
        <v>26660.740787821473</v>
      </c>
      <c r="E144" s="12">
        <f>C144*BondCalculator!$B$5/12</f>
        <v>16388.741754848335</v>
      </c>
      <c r="F144" s="12">
        <f t="shared" si="21"/>
        <v>10271.999032973137</v>
      </c>
      <c r="G144" s="12">
        <f t="shared" si="22"/>
        <v>1699857.5753859836</v>
      </c>
      <c r="H144" s="22">
        <f t="shared" si="23"/>
        <v>0.67994303015439339</v>
      </c>
      <c r="J144" s="51">
        <f t="shared" si="24"/>
        <v>1125561.6002082322</v>
      </c>
      <c r="K144" s="51">
        <f>IF(N143=0,0,IF(N143&lt;BondCalculator!$B$12+BondCalculator!$B$7,N143+L144,BondCalculator!$B$12+BondCalculator!$B$7))</f>
        <v>28660.740787821473</v>
      </c>
      <c r="L144" s="51">
        <f>J144*BondCalculator!$B$5/12</f>
        <v>10786.632001995558</v>
      </c>
      <c r="M144" s="51">
        <f t="shared" si="25"/>
        <v>17874.108785825912</v>
      </c>
      <c r="N144" s="51">
        <f t="shared" si="18"/>
        <v>1107687.4914224062</v>
      </c>
      <c r="P144" s="51">
        <f t="shared" si="19"/>
        <v>5602.1097528527771</v>
      </c>
      <c r="Q144" s="63">
        <f>-PV(BondCalculator!$B$9/12,B144,0,1,0)</f>
        <v>0.4949773113816836</v>
      </c>
      <c r="S144" s="64">
        <f t="shared" si="20"/>
        <v>2772.9172235321757</v>
      </c>
    </row>
    <row r="145" spans="1:19" ht="16.05" customHeight="1" x14ac:dyDescent="0.25">
      <c r="A145" s="61" t="s">
        <v>105</v>
      </c>
      <c r="B145" s="72">
        <v>142</v>
      </c>
      <c r="C145" s="12">
        <f t="shared" si="26"/>
        <v>1699857.5753859836</v>
      </c>
      <c r="D145" s="12">
        <f>IF(G144=0,0,IF(G144&lt;BondCalculator!$B$12,G144+E145,BondCalculator!$B$12))</f>
        <v>26660.740787821473</v>
      </c>
      <c r="E145" s="12">
        <f>C145*BondCalculator!$B$5/12</f>
        <v>16290.301764115677</v>
      </c>
      <c r="F145" s="12">
        <f t="shared" si="21"/>
        <v>10370.439023705796</v>
      </c>
      <c r="G145" s="12">
        <f t="shared" si="22"/>
        <v>1689487.1363622777</v>
      </c>
      <c r="H145" s="22">
        <f t="shared" si="23"/>
        <v>0.67579485454491106</v>
      </c>
      <c r="J145" s="51">
        <f t="shared" si="24"/>
        <v>1107687.4914224062</v>
      </c>
      <c r="K145" s="51">
        <f>IF(N144=0,0,IF(N144&lt;BondCalculator!$B$12+BondCalculator!$B$7,N144+L145,BondCalculator!$B$12+BondCalculator!$B$7))</f>
        <v>28660.740787821473</v>
      </c>
      <c r="L145" s="51">
        <f>J145*BondCalculator!$B$5/12</f>
        <v>10615.338459464727</v>
      </c>
      <c r="M145" s="51">
        <f t="shared" si="25"/>
        <v>18045.402328356744</v>
      </c>
      <c r="N145" s="51">
        <f t="shared" si="18"/>
        <v>1089642.0890940495</v>
      </c>
      <c r="P145" s="51">
        <f t="shared" si="19"/>
        <v>5674.9633046509498</v>
      </c>
      <c r="Q145" s="63">
        <f>-PV(BondCalculator!$B$9/12,B145,0,1,0)</f>
        <v>0.49251473769321757</v>
      </c>
      <c r="S145" s="64">
        <f t="shared" si="20"/>
        <v>2795.0030634087975</v>
      </c>
    </row>
    <row r="146" spans="1:19" ht="16.05" customHeight="1" x14ac:dyDescent="0.25">
      <c r="A146" s="61" t="s">
        <v>105</v>
      </c>
      <c r="B146" s="72">
        <v>143</v>
      </c>
      <c r="C146" s="12">
        <f t="shared" si="26"/>
        <v>1689487.1363622777</v>
      </c>
      <c r="D146" s="12">
        <f>IF(G145=0,0,IF(G145&lt;BondCalculator!$B$12,G145+E146,BondCalculator!$B$12))</f>
        <v>26660.740787821473</v>
      </c>
      <c r="E146" s="12">
        <f>C146*BondCalculator!$B$5/12</f>
        <v>16190.918390138495</v>
      </c>
      <c r="F146" s="12">
        <f t="shared" si="21"/>
        <v>10469.822397682978</v>
      </c>
      <c r="G146" s="12">
        <f t="shared" si="22"/>
        <v>1679017.3139645946</v>
      </c>
      <c r="H146" s="22">
        <f t="shared" si="23"/>
        <v>0.6716069255858379</v>
      </c>
      <c r="J146" s="51">
        <f t="shared" si="24"/>
        <v>1089642.0890940495</v>
      </c>
      <c r="K146" s="51">
        <f>IF(N145=0,0,IF(N145&lt;BondCalculator!$B$12+BondCalculator!$B$7,N145+L146,BondCalculator!$B$12+BondCalculator!$B$7))</f>
        <v>28660.740787821473</v>
      </c>
      <c r="L146" s="51">
        <f>J146*BondCalculator!$B$5/12</f>
        <v>10442.403353817976</v>
      </c>
      <c r="M146" s="51">
        <f t="shared" si="25"/>
        <v>18218.337434003497</v>
      </c>
      <c r="N146" s="51">
        <f t="shared" si="18"/>
        <v>1071423.7516600459</v>
      </c>
      <c r="P146" s="51">
        <f t="shared" si="19"/>
        <v>5748.5150363205194</v>
      </c>
      <c r="Q146" s="63">
        <f>-PV(BondCalculator!$B$9/12,B146,0,1,0)</f>
        <v>0.49006441561514197</v>
      </c>
      <c r="S146" s="64">
        <f t="shared" si="20"/>
        <v>2817.142661929272</v>
      </c>
    </row>
    <row r="147" spans="1:19" ht="16.05" customHeight="1" x14ac:dyDescent="0.25">
      <c r="A147" s="61" t="s">
        <v>105</v>
      </c>
      <c r="B147" s="72">
        <v>144</v>
      </c>
      <c r="C147" s="12">
        <f t="shared" si="26"/>
        <v>1679017.3139645946</v>
      </c>
      <c r="D147" s="12">
        <f>IF(G146=0,0,IF(G146&lt;BondCalculator!$B$12,G146+E147,BondCalculator!$B$12))</f>
        <v>26660.740787821473</v>
      </c>
      <c r="E147" s="12">
        <f>C147*BondCalculator!$B$5/12</f>
        <v>16090.582592160697</v>
      </c>
      <c r="F147" s="12">
        <f t="shared" si="21"/>
        <v>10570.158195660775</v>
      </c>
      <c r="G147" s="12">
        <f t="shared" si="22"/>
        <v>1668447.1557689339</v>
      </c>
      <c r="H147" s="22">
        <f t="shared" si="23"/>
        <v>0.66737886230757359</v>
      </c>
      <c r="J147" s="51">
        <f t="shared" si="24"/>
        <v>1071423.7516600459</v>
      </c>
      <c r="K147" s="51">
        <f>IF(N146=0,0,IF(N146&lt;BondCalculator!$B$12+BondCalculator!$B$7,N146+L147,BondCalculator!$B$12+BondCalculator!$B$7))</f>
        <v>28660.740787821473</v>
      </c>
      <c r="L147" s="51">
        <f>J147*BondCalculator!$B$5/12</f>
        <v>10267.810953408774</v>
      </c>
      <c r="M147" s="51">
        <f t="shared" si="25"/>
        <v>18392.929834412698</v>
      </c>
      <c r="N147" s="51">
        <f t="shared" si="18"/>
        <v>1053030.8218256333</v>
      </c>
      <c r="P147" s="51">
        <f t="shared" si="19"/>
        <v>5822.7716387519231</v>
      </c>
      <c r="Q147" s="63">
        <f>-PV(BondCalculator!$B$9/12,B147,0,1,0)</f>
        <v>0.4876262841941712</v>
      </c>
      <c r="S147" s="64">
        <f t="shared" si="20"/>
        <v>2839.336497915805</v>
      </c>
    </row>
    <row r="148" spans="1:19" ht="16.05" customHeight="1" x14ac:dyDescent="0.25">
      <c r="A148" s="61" t="s">
        <v>106</v>
      </c>
      <c r="B148" s="72">
        <v>145</v>
      </c>
      <c r="C148" s="12">
        <f t="shared" si="26"/>
        <v>1668447.1557689339</v>
      </c>
      <c r="D148" s="12">
        <f>IF(G147=0,0,IF(G147&lt;BondCalculator!$B$12,G147+E148,BondCalculator!$B$12))</f>
        <v>26660.740787821473</v>
      </c>
      <c r="E148" s="12">
        <f>C148*BondCalculator!$B$5/12</f>
        <v>15989.285242785618</v>
      </c>
      <c r="F148" s="12">
        <f t="shared" si="21"/>
        <v>10671.455545035855</v>
      </c>
      <c r="G148" s="12">
        <f t="shared" si="22"/>
        <v>1657775.700223898</v>
      </c>
      <c r="H148" s="22">
        <f t="shared" si="23"/>
        <v>0.66311028008955919</v>
      </c>
      <c r="J148" s="51">
        <f t="shared" si="24"/>
        <v>1053030.8218256333</v>
      </c>
      <c r="K148" s="51">
        <f>IF(N147=0,0,IF(N147&lt;BondCalculator!$B$12+BondCalculator!$B$7,N147+L148,BondCalculator!$B$12+BondCalculator!$B$7))</f>
        <v>28660.740787821473</v>
      </c>
      <c r="L148" s="51">
        <f>J148*BondCalculator!$B$5/12</f>
        <v>10091.545375828986</v>
      </c>
      <c r="M148" s="51">
        <f t="shared" si="25"/>
        <v>18569.195411992485</v>
      </c>
      <c r="N148" s="51">
        <f t="shared" si="18"/>
        <v>1034461.6264136408</v>
      </c>
      <c r="P148" s="51">
        <f t="shared" si="19"/>
        <v>5897.7398669566319</v>
      </c>
      <c r="Q148" s="63">
        <f>-PV(BondCalculator!$B$9/12,B148,0,1,0)</f>
        <v>0.48520028278026978</v>
      </c>
      <c r="S148" s="64">
        <f t="shared" si="20"/>
        <v>2861.5850512118286</v>
      </c>
    </row>
    <row r="149" spans="1:19" ht="16.05" customHeight="1" x14ac:dyDescent="0.25">
      <c r="A149" s="61" t="s">
        <v>106</v>
      </c>
      <c r="B149" s="72">
        <v>146</v>
      </c>
      <c r="C149" s="12">
        <f t="shared" si="26"/>
        <v>1657775.700223898</v>
      </c>
      <c r="D149" s="12">
        <f>IF(G148=0,0,IF(G148&lt;BondCalculator!$B$12,G148+E149,BondCalculator!$B$12))</f>
        <v>26660.740787821473</v>
      </c>
      <c r="E149" s="12">
        <f>C149*BondCalculator!$B$5/12</f>
        <v>15887.017127145691</v>
      </c>
      <c r="F149" s="12">
        <f t="shared" si="21"/>
        <v>10773.723660675782</v>
      </c>
      <c r="G149" s="12">
        <f t="shared" si="22"/>
        <v>1647001.9765632222</v>
      </c>
      <c r="H149" s="22">
        <f t="shared" si="23"/>
        <v>0.65880079062528885</v>
      </c>
      <c r="J149" s="51">
        <f t="shared" si="24"/>
        <v>1034461.6264136408</v>
      </c>
      <c r="K149" s="51">
        <f>IF(N148=0,0,IF(N148&lt;BondCalculator!$B$12+BondCalculator!$B$7,N148+L149,BondCalculator!$B$12+BondCalculator!$B$7))</f>
        <v>28660.740787821473</v>
      </c>
      <c r="L149" s="51">
        <f>J149*BondCalculator!$B$5/12</f>
        <v>9913.5905864640572</v>
      </c>
      <c r="M149" s="51">
        <f t="shared" si="25"/>
        <v>18747.150201357414</v>
      </c>
      <c r="N149" s="51">
        <f t="shared" si="18"/>
        <v>1015714.4762122834</v>
      </c>
      <c r="P149" s="51">
        <f t="shared" si="19"/>
        <v>5973.4265406816339</v>
      </c>
      <c r="Q149" s="63">
        <f>-PV(BondCalculator!$B$9/12,B149,0,1,0)</f>
        <v>0.48278635102514433</v>
      </c>
      <c r="S149" s="64">
        <f t="shared" si="20"/>
        <v>2883.8888026924369</v>
      </c>
    </row>
    <row r="150" spans="1:19" ht="16.05" customHeight="1" x14ac:dyDescent="0.25">
      <c r="A150" s="61" t="s">
        <v>106</v>
      </c>
      <c r="B150" s="72">
        <v>147</v>
      </c>
      <c r="C150" s="12">
        <f t="shared" si="26"/>
        <v>1647001.9765632222</v>
      </c>
      <c r="D150" s="12">
        <f>IF(G149=0,0,IF(G149&lt;BondCalculator!$B$12,G149+E150,BondCalculator!$B$12))</f>
        <v>26660.740787821473</v>
      </c>
      <c r="E150" s="12">
        <f>C150*BondCalculator!$B$5/12</f>
        <v>15783.768942064213</v>
      </c>
      <c r="F150" s="12">
        <f t="shared" si="21"/>
        <v>10876.97184575726</v>
      </c>
      <c r="G150" s="12">
        <f t="shared" si="22"/>
        <v>1636125.004717465</v>
      </c>
      <c r="H150" s="22">
        <f t="shared" si="23"/>
        <v>0.65445000188698599</v>
      </c>
      <c r="J150" s="51">
        <f t="shared" si="24"/>
        <v>1015714.4762122834</v>
      </c>
      <c r="K150" s="51">
        <f>IF(N149=0,0,IF(N149&lt;BondCalculator!$B$12+BondCalculator!$B$7,N149+L150,BondCalculator!$B$12+BondCalculator!$B$7))</f>
        <v>28660.740787821473</v>
      </c>
      <c r="L150" s="51">
        <f>J150*BondCalculator!$B$5/12</f>
        <v>9733.9303970343826</v>
      </c>
      <c r="M150" s="51">
        <f t="shared" si="25"/>
        <v>18926.81039078709</v>
      </c>
      <c r="N150" s="51">
        <f t="shared" si="18"/>
        <v>996787.66582149628</v>
      </c>
      <c r="P150" s="51">
        <f t="shared" si="19"/>
        <v>6049.8385450298301</v>
      </c>
      <c r="Q150" s="63">
        <f>-PV(BondCalculator!$B$9/12,B150,0,1,0)</f>
        <v>0.48038442888074068</v>
      </c>
      <c r="S150" s="64">
        <f t="shared" si="20"/>
        <v>2906.2482342748463</v>
      </c>
    </row>
    <row r="151" spans="1:19" ht="16.05" customHeight="1" x14ac:dyDescent="0.25">
      <c r="A151" s="61" t="s">
        <v>106</v>
      </c>
      <c r="B151" s="72">
        <v>148</v>
      </c>
      <c r="C151" s="12">
        <f t="shared" si="26"/>
        <v>1636125.004717465</v>
      </c>
      <c r="D151" s="12">
        <f>IF(G150=0,0,IF(G150&lt;BondCalculator!$B$12,G150+E151,BondCalculator!$B$12))</f>
        <v>26660.740787821473</v>
      </c>
      <c r="E151" s="12">
        <f>C151*BondCalculator!$B$5/12</f>
        <v>15679.531295209041</v>
      </c>
      <c r="F151" s="12">
        <f t="shared" si="21"/>
        <v>10981.209492612432</v>
      </c>
      <c r="G151" s="12">
        <f t="shared" si="22"/>
        <v>1625143.7952248526</v>
      </c>
      <c r="H151" s="22">
        <f t="shared" si="23"/>
        <v>0.65005751808994106</v>
      </c>
      <c r="J151" s="51">
        <f t="shared" si="24"/>
        <v>996787.66582149628</v>
      </c>
      <c r="K151" s="51">
        <f>IF(N150=0,0,IF(N150&lt;BondCalculator!$B$12+BondCalculator!$B$7,N150+L151,BondCalculator!$B$12+BondCalculator!$B$7))</f>
        <v>28660.740787821473</v>
      </c>
      <c r="L151" s="51">
        <f>J151*BondCalculator!$B$5/12</f>
        <v>9552.548464122674</v>
      </c>
      <c r="M151" s="51">
        <f t="shared" si="25"/>
        <v>19108.1923236988</v>
      </c>
      <c r="N151" s="51">
        <f t="shared" si="18"/>
        <v>977679.4734977975</v>
      </c>
      <c r="P151" s="51">
        <f t="shared" si="19"/>
        <v>6126.9828310863668</v>
      </c>
      <c r="Q151" s="63">
        <f>-PV(BondCalculator!$B$9/12,B151,0,1,0)</f>
        <v>0.47799445659775197</v>
      </c>
      <c r="S151" s="64">
        <f t="shared" si="20"/>
        <v>2928.663828928884</v>
      </c>
    </row>
    <row r="152" spans="1:19" ht="16.05" customHeight="1" x14ac:dyDescent="0.25">
      <c r="A152" s="61" t="s">
        <v>106</v>
      </c>
      <c r="B152" s="72">
        <v>149</v>
      </c>
      <c r="C152" s="12">
        <f t="shared" si="26"/>
        <v>1625143.7952248526</v>
      </c>
      <c r="D152" s="12">
        <f>IF(G151=0,0,IF(G151&lt;BondCalculator!$B$12,G151+E152,BondCalculator!$B$12))</f>
        <v>26660.740787821473</v>
      </c>
      <c r="E152" s="12">
        <f>C152*BondCalculator!$B$5/12</f>
        <v>15574.294704238171</v>
      </c>
      <c r="F152" s="12">
        <f t="shared" si="21"/>
        <v>11086.446083583302</v>
      </c>
      <c r="G152" s="12">
        <f t="shared" si="22"/>
        <v>1614057.3491412692</v>
      </c>
      <c r="H152" s="22">
        <f t="shared" si="23"/>
        <v>0.64562293965650774</v>
      </c>
      <c r="J152" s="51">
        <f t="shared" si="24"/>
        <v>977679.4734977975</v>
      </c>
      <c r="K152" s="51">
        <f>IF(N151=0,0,IF(N151&lt;BondCalculator!$B$12+BondCalculator!$B$7,N151+L152,BondCalculator!$B$12+BondCalculator!$B$7))</f>
        <v>28660.740787821473</v>
      </c>
      <c r="L152" s="51">
        <f>J152*BondCalculator!$B$5/12</f>
        <v>9369.4282876872257</v>
      </c>
      <c r="M152" s="51">
        <f t="shared" si="25"/>
        <v>19291.312500134249</v>
      </c>
      <c r="N152" s="51">
        <f t="shared" si="18"/>
        <v>958388.16099766328</v>
      </c>
      <c r="P152" s="51">
        <f t="shared" si="19"/>
        <v>6204.8664165509454</v>
      </c>
      <c r="Q152" s="63">
        <f>-PV(BondCalculator!$B$9/12,B152,0,1,0)</f>
        <v>0.47561637472413137</v>
      </c>
      <c r="S152" s="64">
        <f t="shared" si="20"/>
        <v>2951.1360706874725</v>
      </c>
    </row>
    <row r="153" spans="1:19" ht="16.05" customHeight="1" x14ac:dyDescent="0.25">
      <c r="A153" s="61" t="s">
        <v>106</v>
      </c>
      <c r="B153" s="72">
        <v>150</v>
      </c>
      <c r="C153" s="12">
        <f t="shared" si="26"/>
        <v>1614057.3491412692</v>
      </c>
      <c r="D153" s="12">
        <f>IF(G152=0,0,IF(G152&lt;BondCalculator!$B$12,G152+E153,BondCalculator!$B$12))</f>
        <v>26660.740787821473</v>
      </c>
      <c r="E153" s="12">
        <f>C153*BondCalculator!$B$5/12</f>
        <v>15468.049595937164</v>
      </c>
      <c r="F153" s="12">
        <f t="shared" si="21"/>
        <v>11192.691191884309</v>
      </c>
      <c r="G153" s="12">
        <f t="shared" si="22"/>
        <v>1602864.657949385</v>
      </c>
      <c r="H153" s="22">
        <f t="shared" si="23"/>
        <v>0.64114586317975397</v>
      </c>
      <c r="J153" s="51">
        <f t="shared" si="24"/>
        <v>958388.16099766328</v>
      </c>
      <c r="K153" s="51">
        <f>IF(N152=0,0,IF(N152&lt;BondCalculator!$B$12+BondCalculator!$B$7,N152+L153,BondCalculator!$B$12+BondCalculator!$B$7))</f>
        <v>28660.740787821473</v>
      </c>
      <c r="L153" s="51">
        <f>J153*BondCalculator!$B$5/12</f>
        <v>9184.5532095609396</v>
      </c>
      <c r="M153" s="51">
        <f t="shared" si="25"/>
        <v>19476.187578260535</v>
      </c>
      <c r="N153" s="51">
        <f t="shared" si="18"/>
        <v>938911.97341940273</v>
      </c>
      <c r="P153" s="51">
        <f t="shared" si="19"/>
        <v>6283.4963863762241</v>
      </c>
      <c r="Q153" s="63">
        <f>-PV(BondCalculator!$B$9/12,B153,0,1,0)</f>
        <v>0.47325012410361339</v>
      </c>
      <c r="S153" s="64">
        <f t="shared" si="20"/>
        <v>2973.6654446571542</v>
      </c>
    </row>
    <row r="154" spans="1:19" ht="16.05" customHeight="1" x14ac:dyDescent="0.25">
      <c r="A154" s="61" t="s">
        <v>106</v>
      </c>
      <c r="B154" s="72">
        <v>151</v>
      </c>
      <c r="C154" s="12">
        <f t="shared" si="26"/>
        <v>1602864.657949385</v>
      </c>
      <c r="D154" s="12">
        <f>IF(G153=0,0,IF(G153&lt;BondCalculator!$B$12,G153+E154,BondCalculator!$B$12))</f>
        <v>26660.740787821473</v>
      </c>
      <c r="E154" s="12">
        <f>C154*BondCalculator!$B$5/12</f>
        <v>15360.786305348272</v>
      </c>
      <c r="F154" s="12">
        <f t="shared" si="21"/>
        <v>11299.9544824732</v>
      </c>
      <c r="G154" s="12">
        <f t="shared" si="22"/>
        <v>1591564.7034669118</v>
      </c>
      <c r="H154" s="22">
        <f t="shared" si="23"/>
        <v>0.63662588138676468</v>
      </c>
      <c r="J154" s="51">
        <f t="shared" si="24"/>
        <v>938911.97341940273</v>
      </c>
      <c r="K154" s="51">
        <f>IF(N153=0,0,IF(N153&lt;BondCalculator!$B$12+BondCalculator!$B$7,N153+L154,BondCalculator!$B$12+BondCalculator!$B$7))</f>
        <v>28660.740787821473</v>
      </c>
      <c r="L154" s="51">
        <f>J154*BondCalculator!$B$5/12</f>
        <v>8997.9064119359427</v>
      </c>
      <c r="M154" s="51">
        <f t="shared" si="25"/>
        <v>19662.83437588553</v>
      </c>
      <c r="N154" s="51">
        <f t="shared" si="18"/>
        <v>919249.13904351718</v>
      </c>
      <c r="P154" s="51">
        <f t="shared" si="19"/>
        <v>6362.8798934123297</v>
      </c>
      <c r="Q154" s="63">
        <f>-PV(BondCalculator!$B$9/12,B154,0,1,0)</f>
        <v>0.47089564587424226</v>
      </c>
      <c r="S154" s="64">
        <f t="shared" si="20"/>
        <v>2996.2524370286287</v>
      </c>
    </row>
    <row r="155" spans="1:19" ht="16.05" customHeight="1" x14ac:dyDescent="0.25">
      <c r="A155" s="61" t="s">
        <v>106</v>
      </c>
      <c r="B155" s="72">
        <v>152</v>
      </c>
      <c r="C155" s="12">
        <f t="shared" si="26"/>
        <v>1591564.7034669118</v>
      </c>
      <c r="D155" s="12">
        <f>IF(G154=0,0,IF(G154&lt;BondCalculator!$B$12,G154+E155,BondCalculator!$B$12))</f>
        <v>26660.740787821473</v>
      </c>
      <c r="E155" s="12">
        <f>C155*BondCalculator!$B$5/12</f>
        <v>15252.495074891238</v>
      </c>
      <c r="F155" s="12">
        <f t="shared" si="21"/>
        <v>11408.245712930235</v>
      </c>
      <c r="G155" s="12">
        <f t="shared" si="22"/>
        <v>1580156.4577539815</v>
      </c>
      <c r="H155" s="22">
        <f t="shared" si="23"/>
        <v>0.63206258310159258</v>
      </c>
      <c r="J155" s="51">
        <f t="shared" si="24"/>
        <v>919249.13904351718</v>
      </c>
      <c r="K155" s="51">
        <f>IF(N154=0,0,IF(N154&lt;BondCalculator!$B$12+BondCalculator!$B$7,N154+L155,BondCalculator!$B$12+BondCalculator!$B$7))</f>
        <v>28660.740787821473</v>
      </c>
      <c r="L155" s="51">
        <f>J155*BondCalculator!$B$5/12</f>
        <v>8809.4709158337064</v>
      </c>
      <c r="M155" s="51">
        <f t="shared" si="25"/>
        <v>19851.269871987766</v>
      </c>
      <c r="N155" s="51">
        <f t="shared" si="18"/>
        <v>899397.86917152943</v>
      </c>
      <c r="P155" s="51">
        <f t="shared" si="19"/>
        <v>6443.0241590575315</v>
      </c>
      <c r="Q155" s="63">
        <f>-PV(BondCalculator!$B$9/12,B155,0,1,0)</f>
        <v>0.46855288146690766</v>
      </c>
      <c r="S155" s="64">
        <f t="shared" si="20"/>
        <v>3018.8975350873061</v>
      </c>
    </row>
    <row r="156" spans="1:19" ht="16.05" customHeight="1" x14ac:dyDescent="0.25">
      <c r="A156" s="61" t="s">
        <v>106</v>
      </c>
      <c r="B156" s="72">
        <v>153</v>
      </c>
      <c r="C156" s="12">
        <f t="shared" si="26"/>
        <v>1580156.4577539815</v>
      </c>
      <c r="D156" s="12">
        <f>IF(G155=0,0,IF(G155&lt;BondCalculator!$B$12,G155+E156,BondCalculator!$B$12))</f>
        <v>26660.740787821473</v>
      </c>
      <c r="E156" s="12">
        <f>C156*BondCalculator!$B$5/12</f>
        <v>15143.166053475657</v>
      </c>
      <c r="F156" s="12">
        <f t="shared" si="21"/>
        <v>11517.574734345815</v>
      </c>
      <c r="G156" s="12">
        <f t="shared" si="22"/>
        <v>1568638.8830196357</v>
      </c>
      <c r="H156" s="22">
        <f t="shared" si="23"/>
        <v>0.62745555320785429</v>
      </c>
      <c r="J156" s="51">
        <f t="shared" si="24"/>
        <v>899397.86917152943</v>
      </c>
      <c r="K156" s="51">
        <f>IF(N155=0,0,IF(N155&lt;BondCalculator!$B$12+BondCalculator!$B$7,N155+L156,BondCalculator!$B$12+BondCalculator!$B$7))</f>
        <v>28660.740787821473</v>
      </c>
      <c r="L156" s="51">
        <f>J156*BondCalculator!$B$5/12</f>
        <v>8619.2295795604896</v>
      </c>
      <c r="M156" s="51">
        <f t="shared" si="25"/>
        <v>20041.511208260985</v>
      </c>
      <c r="N156" s="51">
        <f t="shared" si="18"/>
        <v>879356.35796326841</v>
      </c>
      <c r="P156" s="51">
        <f t="shared" si="19"/>
        <v>6523.9364739151679</v>
      </c>
      <c r="Q156" s="63">
        <f>-PV(BondCalculator!$B$9/12,B156,0,1,0)</f>
        <v>0.46622177260388836</v>
      </c>
      <c r="S156" s="64">
        <f t="shared" si="20"/>
        <v>3041.6012272238909</v>
      </c>
    </row>
    <row r="157" spans="1:19" ht="16.05" customHeight="1" x14ac:dyDescent="0.25">
      <c r="A157" s="61" t="s">
        <v>106</v>
      </c>
      <c r="B157" s="72">
        <v>154</v>
      </c>
      <c r="C157" s="12">
        <f t="shared" si="26"/>
        <v>1568638.8830196357</v>
      </c>
      <c r="D157" s="12">
        <f>IF(G156=0,0,IF(G156&lt;BondCalculator!$B$12,G156+E157,BondCalculator!$B$12))</f>
        <v>26660.740787821473</v>
      </c>
      <c r="E157" s="12">
        <f>C157*BondCalculator!$B$5/12</f>
        <v>15032.789295604844</v>
      </c>
      <c r="F157" s="12">
        <f t="shared" si="21"/>
        <v>11627.951492216629</v>
      </c>
      <c r="G157" s="12">
        <f t="shared" si="22"/>
        <v>1557010.931527419</v>
      </c>
      <c r="H157" s="22">
        <f t="shared" si="23"/>
        <v>0.62280437261096766</v>
      </c>
      <c r="J157" s="51">
        <f t="shared" si="24"/>
        <v>879356.35796326841</v>
      </c>
      <c r="K157" s="51">
        <f>IF(N156=0,0,IF(N156&lt;BondCalculator!$B$12+BondCalculator!$B$7,N156+L157,BondCalculator!$B$12+BondCalculator!$B$7))</f>
        <v>28660.740787821473</v>
      </c>
      <c r="L157" s="51">
        <f>J157*BondCalculator!$B$5/12</f>
        <v>8427.1650971479885</v>
      </c>
      <c r="M157" s="51">
        <f t="shared" si="25"/>
        <v>20233.575690673482</v>
      </c>
      <c r="N157" s="51">
        <f t="shared" si="18"/>
        <v>859122.78227259498</v>
      </c>
      <c r="P157" s="51">
        <f t="shared" si="19"/>
        <v>6605.6241984568551</v>
      </c>
      <c r="Q157" s="63">
        <f>-PV(BondCalculator!$B$9/12,B157,0,1,0)</f>
        <v>0.46390226129740142</v>
      </c>
      <c r="S157" s="64">
        <f t="shared" si="20"/>
        <v>3064.3640029449698</v>
      </c>
    </row>
    <row r="158" spans="1:19" ht="16.05" customHeight="1" x14ac:dyDescent="0.25">
      <c r="A158" s="61" t="s">
        <v>106</v>
      </c>
      <c r="B158" s="72">
        <v>155</v>
      </c>
      <c r="C158" s="12">
        <f t="shared" si="26"/>
        <v>1557010.931527419</v>
      </c>
      <c r="D158" s="12">
        <f>IF(G157=0,0,IF(G157&lt;BondCalculator!$B$12,G157+E158,BondCalculator!$B$12))</f>
        <v>26660.740787821473</v>
      </c>
      <c r="E158" s="12">
        <f>C158*BondCalculator!$B$5/12</f>
        <v>14921.354760471098</v>
      </c>
      <c r="F158" s="12">
        <f t="shared" si="21"/>
        <v>11739.386027350374</v>
      </c>
      <c r="G158" s="12">
        <f t="shared" si="22"/>
        <v>1545271.5455000687</v>
      </c>
      <c r="H158" s="22">
        <f t="shared" si="23"/>
        <v>0.61810861820002749</v>
      </c>
      <c r="J158" s="51">
        <f t="shared" si="24"/>
        <v>859122.78227259498</v>
      </c>
      <c r="K158" s="51">
        <f>IF(N157=0,0,IF(N157&lt;BondCalculator!$B$12+BondCalculator!$B$7,N157+L158,BondCalculator!$B$12+BondCalculator!$B$7))</f>
        <v>28660.740787821473</v>
      </c>
      <c r="L158" s="51">
        <f>J158*BondCalculator!$B$5/12</f>
        <v>8233.2599967790356</v>
      </c>
      <c r="M158" s="51">
        <f t="shared" si="25"/>
        <v>20427.480791042435</v>
      </c>
      <c r="N158" s="51">
        <f t="shared" si="18"/>
        <v>838695.30148155254</v>
      </c>
      <c r="P158" s="51">
        <f t="shared" si="19"/>
        <v>6688.0947636920628</v>
      </c>
      <c r="Q158" s="63">
        <f>-PV(BondCalculator!$B$9/12,B158,0,1,0)</f>
        <v>0.4615942898481607</v>
      </c>
      <c r="S158" s="64">
        <f t="shared" si="20"/>
        <v>3087.1863528836398</v>
      </c>
    </row>
    <row r="159" spans="1:19" ht="16.05" customHeight="1" x14ac:dyDescent="0.25">
      <c r="A159" s="61" t="s">
        <v>106</v>
      </c>
      <c r="B159" s="72">
        <v>156</v>
      </c>
      <c r="C159" s="12">
        <f t="shared" si="26"/>
        <v>1545271.5455000687</v>
      </c>
      <c r="D159" s="12">
        <f>IF(G158=0,0,IF(G158&lt;BondCalculator!$B$12,G158+E159,BondCalculator!$B$12))</f>
        <v>26660.740787821473</v>
      </c>
      <c r="E159" s="12">
        <f>C159*BondCalculator!$B$5/12</f>
        <v>14808.852311042327</v>
      </c>
      <c r="F159" s="12">
        <f t="shared" si="21"/>
        <v>11851.888476779146</v>
      </c>
      <c r="G159" s="12">
        <f t="shared" si="22"/>
        <v>1533419.6570232895</v>
      </c>
      <c r="H159" s="22">
        <f t="shared" si="23"/>
        <v>0.61336786280931577</v>
      </c>
      <c r="J159" s="51">
        <f t="shared" si="24"/>
        <v>838695.30148155254</v>
      </c>
      <c r="K159" s="51">
        <f>IF(N158=0,0,IF(N158&lt;BondCalculator!$B$12+BondCalculator!$B$7,N158+L159,BondCalculator!$B$12+BondCalculator!$B$7))</f>
        <v>28660.740787821473</v>
      </c>
      <c r="L159" s="51">
        <f>J159*BondCalculator!$B$5/12</f>
        <v>8037.4966391982125</v>
      </c>
      <c r="M159" s="51">
        <f t="shared" si="25"/>
        <v>20623.24414862326</v>
      </c>
      <c r="N159" s="51">
        <f t="shared" si="18"/>
        <v>818072.05733292922</v>
      </c>
      <c r="P159" s="51">
        <f t="shared" si="19"/>
        <v>6771.3556718441141</v>
      </c>
      <c r="Q159" s="63">
        <f>-PV(BondCalculator!$B$9/12,B159,0,1,0)</f>
        <v>0.45929780084394106</v>
      </c>
      <c r="S159" s="64">
        <f t="shared" si="20"/>
        <v>3110.0687688101489</v>
      </c>
    </row>
    <row r="160" spans="1:19" ht="16.05" customHeight="1" x14ac:dyDescent="0.25">
      <c r="A160" s="61" t="s">
        <v>107</v>
      </c>
      <c r="B160" s="72">
        <v>157</v>
      </c>
      <c r="C160" s="12">
        <f t="shared" si="26"/>
        <v>1533419.6570232895</v>
      </c>
      <c r="D160" s="12">
        <f>IF(G159=0,0,IF(G159&lt;BondCalculator!$B$12,G159+E160,BondCalculator!$B$12))</f>
        <v>26660.740787821473</v>
      </c>
      <c r="E160" s="12">
        <f>C160*BondCalculator!$B$5/12</f>
        <v>14695.271713139859</v>
      </c>
      <c r="F160" s="12">
        <f t="shared" si="21"/>
        <v>11965.469074681614</v>
      </c>
      <c r="G160" s="12">
        <f t="shared" si="22"/>
        <v>1521454.1879486078</v>
      </c>
      <c r="H160" s="22">
        <f t="shared" si="23"/>
        <v>0.60858167517944317</v>
      </c>
      <c r="J160" s="51">
        <f t="shared" si="24"/>
        <v>818072.05733292922</v>
      </c>
      <c r="K160" s="51">
        <f>IF(N159=0,0,IF(N159&lt;BondCalculator!$B$12+BondCalculator!$B$7,N159+L160,BondCalculator!$B$12+BondCalculator!$B$7))</f>
        <v>28660.740787821473</v>
      </c>
      <c r="L160" s="51">
        <f>J160*BondCalculator!$B$5/12</f>
        <v>7839.8572161072379</v>
      </c>
      <c r="M160" s="51">
        <f t="shared" si="25"/>
        <v>20820.883571714236</v>
      </c>
      <c r="N160" s="51">
        <f t="shared" si="18"/>
        <v>797251.17376121494</v>
      </c>
      <c r="P160" s="51">
        <f t="shared" si="19"/>
        <v>6855.4144970326206</v>
      </c>
      <c r="Q160" s="63">
        <f>-PV(BondCalculator!$B$9/12,B160,0,1,0)</f>
        <v>0.45701273715815033</v>
      </c>
      <c r="S160" s="64">
        <f t="shared" si="20"/>
        <v>3133.0117436425426</v>
      </c>
    </row>
    <row r="161" spans="1:19" ht="16.05" customHeight="1" x14ac:dyDescent="0.25">
      <c r="A161" s="61" t="s">
        <v>107</v>
      </c>
      <c r="B161" s="72">
        <v>158</v>
      </c>
      <c r="C161" s="12">
        <f t="shared" si="26"/>
        <v>1521454.1879486078</v>
      </c>
      <c r="D161" s="12">
        <f>IF(G160=0,0,IF(G160&lt;BondCalculator!$B$12,G160+E161,BondCalculator!$B$12))</f>
        <v>26660.740787821473</v>
      </c>
      <c r="E161" s="12">
        <f>C161*BondCalculator!$B$5/12</f>
        <v>14580.602634507493</v>
      </c>
      <c r="F161" s="12">
        <f t="shared" si="21"/>
        <v>12080.138153313979</v>
      </c>
      <c r="G161" s="12">
        <f t="shared" si="22"/>
        <v>1509374.0497952939</v>
      </c>
      <c r="H161" s="22">
        <f t="shared" si="23"/>
        <v>0.6037496199181176</v>
      </c>
      <c r="J161" s="51">
        <f t="shared" si="24"/>
        <v>797251.17376121494</v>
      </c>
      <c r="K161" s="51">
        <f>IF(N160=0,0,IF(N160&lt;BondCalculator!$B$12+BondCalculator!$B$7,N160+L161,BondCalculator!$B$12+BondCalculator!$B$7))</f>
        <v>28660.740787821473</v>
      </c>
      <c r="L161" s="51">
        <f>J161*BondCalculator!$B$5/12</f>
        <v>7640.3237485449763</v>
      </c>
      <c r="M161" s="51">
        <f t="shared" si="25"/>
        <v>21020.417039276497</v>
      </c>
      <c r="N161" s="51">
        <f t="shared" si="18"/>
        <v>776230.75672193849</v>
      </c>
      <c r="P161" s="51">
        <f t="shared" si="19"/>
        <v>6940.2788859625171</v>
      </c>
      <c r="Q161" s="63">
        <f>-PV(BondCalculator!$B$9/12,B161,0,1,0)</f>
        <v>0.45473904194840842</v>
      </c>
      <c r="S161" s="64">
        <f t="shared" si="20"/>
        <v>3156.0157714573625</v>
      </c>
    </row>
    <row r="162" spans="1:19" ht="16.05" customHeight="1" x14ac:dyDescent="0.25">
      <c r="A162" s="61" t="s">
        <v>107</v>
      </c>
      <c r="B162" s="72">
        <v>159</v>
      </c>
      <c r="C162" s="12">
        <f t="shared" si="26"/>
        <v>1509374.0497952939</v>
      </c>
      <c r="D162" s="12">
        <f>IF(G161=0,0,IF(G161&lt;BondCalculator!$B$12,G161+E162,BondCalculator!$B$12))</f>
        <v>26660.740787821473</v>
      </c>
      <c r="E162" s="12">
        <f>C162*BondCalculator!$B$5/12</f>
        <v>14464.834643871567</v>
      </c>
      <c r="F162" s="12">
        <f t="shared" si="21"/>
        <v>12195.906143949906</v>
      </c>
      <c r="G162" s="12">
        <f t="shared" si="22"/>
        <v>1497178.1436513441</v>
      </c>
      <c r="H162" s="22">
        <f t="shared" si="23"/>
        <v>0.5988712574605376</v>
      </c>
      <c r="J162" s="51">
        <f t="shared" si="24"/>
        <v>776230.75672193849</v>
      </c>
      <c r="K162" s="51">
        <f>IF(N161=0,0,IF(N161&lt;BondCalculator!$B$12+BondCalculator!$B$7,N161+L162,BondCalculator!$B$12+BondCalculator!$B$7))</f>
        <v>28660.740787821473</v>
      </c>
      <c r="L162" s="51">
        <f>J162*BondCalculator!$B$5/12</f>
        <v>7438.8780852519112</v>
      </c>
      <c r="M162" s="51">
        <f t="shared" si="25"/>
        <v>21221.86270256956</v>
      </c>
      <c r="N162" s="51">
        <f t="shared" si="18"/>
        <v>755008.89401936892</v>
      </c>
      <c r="P162" s="51">
        <f t="shared" si="19"/>
        <v>7025.9565586196559</v>
      </c>
      <c r="Q162" s="63">
        <f>-PV(BondCalculator!$B$9/12,B162,0,1,0)</f>
        <v>0.45247665865513281</v>
      </c>
      <c r="S162" s="64">
        <f t="shared" si="20"/>
        <v>3179.0813475003379</v>
      </c>
    </row>
    <row r="163" spans="1:19" ht="16.05" customHeight="1" x14ac:dyDescent="0.25">
      <c r="A163" s="61" t="s">
        <v>107</v>
      </c>
      <c r="B163" s="72">
        <v>160</v>
      </c>
      <c r="C163" s="12">
        <f t="shared" si="26"/>
        <v>1497178.1436513441</v>
      </c>
      <c r="D163" s="12">
        <f>IF(G162=0,0,IF(G162&lt;BondCalculator!$B$12,G162+E163,BondCalculator!$B$12))</f>
        <v>26660.740787821473</v>
      </c>
      <c r="E163" s="12">
        <f>C163*BondCalculator!$B$5/12</f>
        <v>14347.957209992048</v>
      </c>
      <c r="F163" s="12">
        <f t="shared" si="21"/>
        <v>12312.783577829425</v>
      </c>
      <c r="G163" s="12">
        <f t="shared" si="22"/>
        <v>1484865.3600735147</v>
      </c>
      <c r="H163" s="22">
        <f t="shared" si="23"/>
        <v>0.59394614402940593</v>
      </c>
      <c r="J163" s="51">
        <f t="shared" si="24"/>
        <v>755008.89401936892</v>
      </c>
      <c r="K163" s="51">
        <f>IF(N162=0,0,IF(N162&lt;BondCalculator!$B$12+BondCalculator!$B$7,N162+L163,BondCalculator!$B$12+BondCalculator!$B$7))</f>
        <v>28660.740787821473</v>
      </c>
      <c r="L163" s="51">
        <f>J163*BondCalculator!$B$5/12</f>
        <v>7235.5019010189526</v>
      </c>
      <c r="M163" s="51">
        <f t="shared" si="25"/>
        <v>21425.238886802519</v>
      </c>
      <c r="N163" s="51">
        <f t="shared" si="18"/>
        <v>733583.65513256635</v>
      </c>
      <c r="P163" s="51">
        <f t="shared" si="19"/>
        <v>7112.4553089730953</v>
      </c>
      <c r="Q163" s="63">
        <f>-PV(BondCalculator!$B$9/12,B163,0,1,0)</f>
        <v>0.45022553100013224</v>
      </c>
      <c r="S163" s="64">
        <f t="shared" si="20"/>
        <v>3202.2089681971215</v>
      </c>
    </row>
    <row r="164" spans="1:19" ht="16.05" customHeight="1" x14ac:dyDescent="0.25">
      <c r="A164" s="61" t="s">
        <v>107</v>
      </c>
      <c r="B164" s="72">
        <v>161</v>
      </c>
      <c r="C164" s="12">
        <f t="shared" si="26"/>
        <v>1484865.3600735147</v>
      </c>
      <c r="D164" s="12">
        <f>IF(G163=0,0,IF(G163&lt;BondCalculator!$B$12,G163+E164,BondCalculator!$B$12))</f>
        <v>26660.740787821473</v>
      </c>
      <c r="E164" s="12">
        <f>C164*BondCalculator!$B$5/12</f>
        <v>14229.959700704516</v>
      </c>
      <c r="F164" s="12">
        <f t="shared" si="21"/>
        <v>12430.781087116957</v>
      </c>
      <c r="G164" s="12">
        <f t="shared" si="22"/>
        <v>1472434.5789863977</v>
      </c>
      <c r="H164" s="22">
        <f t="shared" si="23"/>
        <v>0.58897383159455907</v>
      </c>
      <c r="J164" s="51">
        <f t="shared" si="24"/>
        <v>733583.65513256635</v>
      </c>
      <c r="K164" s="51">
        <f>IF(N163=0,0,IF(N163&lt;BondCalculator!$B$12+BondCalculator!$B$7,N163+L164,BondCalculator!$B$12+BondCalculator!$B$7))</f>
        <v>28660.740787821473</v>
      </c>
      <c r="L164" s="51">
        <f>J164*BondCalculator!$B$5/12</f>
        <v>7030.1766950204283</v>
      </c>
      <c r="M164" s="51">
        <f t="shared" si="25"/>
        <v>21630.564092801043</v>
      </c>
      <c r="N164" s="51">
        <f t="shared" si="18"/>
        <v>711953.09103976528</v>
      </c>
      <c r="P164" s="51">
        <f t="shared" si="19"/>
        <v>7199.7830056840876</v>
      </c>
      <c r="Q164" s="63">
        <f>-PV(BondCalculator!$B$9/12,B164,0,1,0)</f>
        <v>0.44798560298520629</v>
      </c>
      <c r="S164" s="64">
        <f t="shared" si="20"/>
        <v>3225.399131164027</v>
      </c>
    </row>
    <row r="165" spans="1:19" ht="16.05" customHeight="1" x14ac:dyDescent="0.25">
      <c r="A165" s="61" t="s">
        <v>107</v>
      </c>
      <c r="B165" s="72">
        <v>162</v>
      </c>
      <c r="C165" s="12">
        <f t="shared" si="26"/>
        <v>1472434.5789863977</v>
      </c>
      <c r="D165" s="12">
        <f>IF(G164=0,0,IF(G164&lt;BondCalculator!$B$12,G164+E165,BondCalculator!$B$12))</f>
        <v>26660.740787821473</v>
      </c>
      <c r="E165" s="12">
        <f>C165*BondCalculator!$B$5/12</f>
        <v>14110.831381952979</v>
      </c>
      <c r="F165" s="12">
        <f t="shared" si="21"/>
        <v>12549.909405868493</v>
      </c>
      <c r="G165" s="12">
        <f t="shared" si="22"/>
        <v>1459884.6695805292</v>
      </c>
      <c r="H165" s="22">
        <f t="shared" si="23"/>
        <v>0.5839538678322117</v>
      </c>
      <c r="J165" s="51">
        <f t="shared" si="24"/>
        <v>711953.09103976528</v>
      </c>
      <c r="K165" s="51">
        <f>IF(N164=0,0,IF(N164&lt;BondCalculator!$B$12+BondCalculator!$B$7,N164+L165,BondCalculator!$B$12+BondCalculator!$B$7))</f>
        <v>28660.740787821473</v>
      </c>
      <c r="L165" s="51">
        <f>J165*BondCalculator!$B$5/12</f>
        <v>6822.8837891310841</v>
      </c>
      <c r="M165" s="51">
        <f t="shared" si="25"/>
        <v>21837.856998690389</v>
      </c>
      <c r="N165" s="51">
        <f t="shared" si="18"/>
        <v>690115.23404107487</v>
      </c>
      <c r="P165" s="51">
        <f t="shared" si="19"/>
        <v>7287.9475928218953</v>
      </c>
      <c r="Q165" s="63">
        <f>-PV(BondCalculator!$B$9/12,B165,0,1,0)</f>
        <v>0.44575681889075258</v>
      </c>
      <c r="S165" s="64">
        <f t="shared" si="20"/>
        <v>3248.652335218806</v>
      </c>
    </row>
    <row r="166" spans="1:19" ht="16.05" customHeight="1" x14ac:dyDescent="0.25">
      <c r="A166" s="61" t="s">
        <v>107</v>
      </c>
      <c r="B166" s="72">
        <v>163</v>
      </c>
      <c r="C166" s="12">
        <f t="shared" si="26"/>
        <v>1459884.6695805292</v>
      </c>
      <c r="D166" s="12">
        <f>IF(G165=0,0,IF(G165&lt;BondCalculator!$B$12,G165+E166,BondCalculator!$B$12))</f>
        <v>26660.740787821473</v>
      </c>
      <c r="E166" s="12">
        <f>C166*BondCalculator!$B$5/12</f>
        <v>13990.561416813405</v>
      </c>
      <c r="F166" s="12">
        <f t="shared" si="21"/>
        <v>12670.179371008067</v>
      </c>
      <c r="G166" s="12">
        <f t="shared" si="22"/>
        <v>1447214.4902095213</v>
      </c>
      <c r="H166" s="22">
        <f t="shared" si="23"/>
        <v>0.57888579608380852</v>
      </c>
      <c r="J166" s="51">
        <f t="shared" si="24"/>
        <v>690115.23404107487</v>
      </c>
      <c r="K166" s="51">
        <f>IF(N165=0,0,IF(N165&lt;BondCalculator!$B$12+BondCalculator!$B$7,N165+L166,BondCalculator!$B$12+BondCalculator!$B$7))</f>
        <v>28660.740787821473</v>
      </c>
      <c r="L166" s="51">
        <f>J166*BondCalculator!$B$5/12</f>
        <v>6613.6043262269677</v>
      </c>
      <c r="M166" s="51">
        <f t="shared" si="25"/>
        <v>22047.136461594506</v>
      </c>
      <c r="N166" s="51">
        <f t="shared" si="18"/>
        <v>668068.09757948038</v>
      </c>
      <c r="P166" s="51">
        <f t="shared" si="19"/>
        <v>7376.9570905864375</v>
      </c>
      <c r="Q166" s="63">
        <f>-PV(BondCalculator!$B$9/12,B166,0,1,0)</f>
        <v>0.44353912327438066</v>
      </c>
      <c r="S166" s="64">
        <f t="shared" si="20"/>
        <v>3271.9690803914345</v>
      </c>
    </row>
    <row r="167" spans="1:19" ht="16.05" customHeight="1" x14ac:dyDescent="0.25">
      <c r="A167" s="61" t="s">
        <v>107</v>
      </c>
      <c r="B167" s="72">
        <v>164</v>
      </c>
      <c r="C167" s="12">
        <f t="shared" si="26"/>
        <v>1447214.4902095213</v>
      </c>
      <c r="D167" s="12">
        <f>IF(G166=0,0,IF(G166&lt;BondCalculator!$B$12,G166+E167,BondCalculator!$B$12))</f>
        <v>26660.740787821473</v>
      </c>
      <c r="E167" s="12">
        <f>C167*BondCalculator!$B$5/12</f>
        <v>13869.138864507913</v>
      </c>
      <c r="F167" s="12">
        <f t="shared" si="21"/>
        <v>12791.601923313559</v>
      </c>
      <c r="G167" s="12">
        <f t="shared" si="22"/>
        <v>1434422.8882862078</v>
      </c>
      <c r="H167" s="22">
        <f t="shared" si="23"/>
        <v>0.57376915531448314</v>
      </c>
      <c r="J167" s="51">
        <f t="shared" si="24"/>
        <v>668068.09757948038</v>
      </c>
      <c r="K167" s="51">
        <f>IF(N166=0,0,IF(N166&lt;BondCalculator!$B$12+BondCalculator!$B$7,N166+L167,BondCalculator!$B$12+BondCalculator!$B$7))</f>
        <v>28660.740787821473</v>
      </c>
      <c r="L167" s="51">
        <f>J167*BondCalculator!$B$5/12</f>
        <v>6402.3192684700198</v>
      </c>
      <c r="M167" s="51">
        <f t="shared" si="25"/>
        <v>22258.421519351454</v>
      </c>
      <c r="N167" s="51">
        <f t="shared" si="18"/>
        <v>645809.67606012896</v>
      </c>
      <c r="P167" s="51">
        <f t="shared" si="19"/>
        <v>7466.8195960378935</v>
      </c>
      <c r="Q167" s="63">
        <f>-PV(BondCalculator!$B$9/12,B167,0,1,0)</f>
        <v>0.44133246096953316</v>
      </c>
      <c r="S167" s="64">
        <f t="shared" si="20"/>
        <v>3295.3498679349391</v>
      </c>
    </row>
    <row r="168" spans="1:19" ht="16.05" customHeight="1" x14ac:dyDescent="0.25">
      <c r="A168" s="61" t="s">
        <v>107</v>
      </c>
      <c r="B168" s="72">
        <v>165</v>
      </c>
      <c r="C168" s="12">
        <f t="shared" si="26"/>
        <v>1434422.8882862078</v>
      </c>
      <c r="D168" s="12">
        <f>IF(G167=0,0,IF(G167&lt;BondCalculator!$B$12,G167+E168,BondCalculator!$B$12))</f>
        <v>26660.740787821473</v>
      </c>
      <c r="E168" s="12">
        <f>C168*BondCalculator!$B$5/12</f>
        <v>13746.552679409491</v>
      </c>
      <c r="F168" s="12">
        <f t="shared" si="21"/>
        <v>12914.188108411981</v>
      </c>
      <c r="G168" s="12">
        <f t="shared" si="22"/>
        <v>1421508.7001777957</v>
      </c>
      <c r="H168" s="22">
        <f t="shared" si="23"/>
        <v>0.56860348007111827</v>
      </c>
      <c r="J168" s="51">
        <f t="shared" si="24"/>
        <v>645809.67606012896</v>
      </c>
      <c r="K168" s="51">
        <f>IF(N167=0,0,IF(N167&lt;BondCalculator!$B$12+BondCalculator!$B$7,N167+L168,BondCalculator!$B$12+BondCalculator!$B$7))</f>
        <v>28660.740787821473</v>
      </c>
      <c r="L168" s="51">
        <f>J168*BondCalculator!$B$5/12</f>
        <v>6189.0093955762359</v>
      </c>
      <c r="M168" s="51">
        <f t="shared" si="25"/>
        <v>22471.731392245238</v>
      </c>
      <c r="N168" s="51">
        <f t="shared" si="18"/>
        <v>623337.94466788368</v>
      </c>
      <c r="P168" s="51">
        <f t="shared" si="19"/>
        <v>7557.5432838332554</v>
      </c>
      <c r="Q168" s="63">
        <f>-PV(BondCalculator!$B$9/12,B168,0,1,0)</f>
        <v>0.43913677708411269</v>
      </c>
      <c r="S168" s="64">
        <f t="shared" si="20"/>
        <v>3318.7952003362175</v>
      </c>
    </row>
    <row r="169" spans="1:19" ht="16.05" customHeight="1" x14ac:dyDescent="0.25">
      <c r="A169" s="61" t="s">
        <v>107</v>
      </c>
      <c r="B169" s="72">
        <v>166</v>
      </c>
      <c r="C169" s="12">
        <f t="shared" si="26"/>
        <v>1421508.7001777957</v>
      </c>
      <c r="D169" s="12">
        <f>IF(G168=0,0,IF(G168&lt;BondCalculator!$B$12,G168+E169,BondCalculator!$B$12))</f>
        <v>26660.740787821473</v>
      </c>
      <c r="E169" s="12">
        <f>C169*BondCalculator!$B$5/12</f>
        <v>13622.791710037209</v>
      </c>
      <c r="F169" s="12">
        <f t="shared" si="21"/>
        <v>13037.949077784264</v>
      </c>
      <c r="G169" s="12">
        <f t="shared" si="22"/>
        <v>1408470.7511000114</v>
      </c>
      <c r="H169" s="22">
        <f t="shared" si="23"/>
        <v>0.56338830044000454</v>
      </c>
      <c r="J169" s="51">
        <f t="shared" si="24"/>
        <v>623337.94466788368</v>
      </c>
      <c r="K169" s="51">
        <f>IF(N168=0,0,IF(N168&lt;BondCalculator!$B$12+BondCalculator!$B$7,N168+L169,BondCalculator!$B$12+BondCalculator!$B$7))</f>
        <v>28660.740787821473</v>
      </c>
      <c r="L169" s="51">
        <f>J169*BondCalculator!$B$5/12</f>
        <v>5973.6553030672185</v>
      </c>
      <c r="M169" s="51">
        <f t="shared" si="25"/>
        <v>22687.085484754254</v>
      </c>
      <c r="N169" s="51">
        <f t="shared" si="18"/>
        <v>600650.85918312939</v>
      </c>
      <c r="P169" s="51">
        <f t="shared" si="19"/>
        <v>7649.1364069699903</v>
      </c>
      <c r="Q169" s="63">
        <f>-PV(BondCalculator!$B$9/12,B169,0,1,0)</f>
        <v>0.43695201699911712</v>
      </c>
      <c r="S169" s="64">
        <f t="shared" si="20"/>
        <v>3342.305581326917</v>
      </c>
    </row>
    <row r="170" spans="1:19" ht="16.05" customHeight="1" x14ac:dyDescent="0.25">
      <c r="A170" s="61" t="s">
        <v>107</v>
      </c>
      <c r="B170" s="72">
        <v>167</v>
      </c>
      <c r="C170" s="12">
        <f t="shared" si="26"/>
        <v>1408470.7511000114</v>
      </c>
      <c r="D170" s="12">
        <f>IF(G169=0,0,IF(G169&lt;BondCalculator!$B$12,G169+E170,BondCalculator!$B$12))</f>
        <v>26660.740787821473</v>
      </c>
      <c r="E170" s="12">
        <f>C170*BondCalculator!$B$5/12</f>
        <v>13497.844698041778</v>
      </c>
      <c r="F170" s="12">
        <f t="shared" si="21"/>
        <v>13162.896089779695</v>
      </c>
      <c r="G170" s="12">
        <f t="shared" si="22"/>
        <v>1395307.8550102317</v>
      </c>
      <c r="H170" s="22">
        <f t="shared" si="23"/>
        <v>0.55812314200409274</v>
      </c>
      <c r="J170" s="51">
        <f t="shared" si="24"/>
        <v>600650.85918312939</v>
      </c>
      <c r="K170" s="51">
        <f>IF(N169=0,0,IF(N169&lt;BondCalculator!$B$12+BondCalculator!$B$7,N169+L170,BondCalculator!$B$12+BondCalculator!$B$7))</f>
        <v>28660.740787821473</v>
      </c>
      <c r="L170" s="51">
        <f>J170*BondCalculator!$B$5/12</f>
        <v>5756.2374005049896</v>
      </c>
      <c r="M170" s="51">
        <f t="shared" si="25"/>
        <v>22904.503387316483</v>
      </c>
      <c r="N170" s="51">
        <f t="shared" si="18"/>
        <v>577746.35579581291</v>
      </c>
      <c r="P170" s="51">
        <f t="shared" si="19"/>
        <v>7741.6072975367879</v>
      </c>
      <c r="Q170" s="63">
        <f>-PV(BondCalculator!$B$9/12,B170,0,1,0)</f>
        <v>0.4347781263672808</v>
      </c>
      <c r="S170" s="64">
        <f t="shared" si="20"/>
        <v>3365.881515894313</v>
      </c>
    </row>
    <row r="171" spans="1:19" ht="16.05" customHeight="1" x14ac:dyDescent="0.25">
      <c r="A171" s="61" t="s">
        <v>107</v>
      </c>
      <c r="B171" s="72">
        <v>168</v>
      </c>
      <c r="C171" s="12">
        <f t="shared" si="26"/>
        <v>1395307.8550102317</v>
      </c>
      <c r="D171" s="12">
        <f>IF(G170=0,0,IF(G170&lt;BondCalculator!$B$12,G170+E171,BondCalculator!$B$12))</f>
        <v>26660.740787821473</v>
      </c>
      <c r="E171" s="12">
        <f>C171*BondCalculator!$B$5/12</f>
        <v>13371.700277181388</v>
      </c>
      <c r="F171" s="12">
        <f t="shared" si="21"/>
        <v>13289.040510640085</v>
      </c>
      <c r="G171" s="12">
        <f t="shared" si="22"/>
        <v>1382018.8144995917</v>
      </c>
      <c r="H171" s="22">
        <f t="shared" si="23"/>
        <v>0.55280752579983672</v>
      </c>
      <c r="J171" s="51">
        <f t="shared" si="24"/>
        <v>577746.35579581291</v>
      </c>
      <c r="K171" s="51">
        <f>IF(N170=0,0,IF(N170&lt;BondCalculator!$B$12+BondCalculator!$B$7,N170+L171,BondCalculator!$B$12+BondCalculator!$B$7))</f>
        <v>28660.740787821473</v>
      </c>
      <c r="L171" s="51">
        <f>J171*BondCalculator!$B$5/12</f>
        <v>5536.7359097098742</v>
      </c>
      <c r="M171" s="51">
        <f t="shared" si="25"/>
        <v>23124.004878111598</v>
      </c>
      <c r="N171" s="51">
        <f t="shared" si="18"/>
        <v>554622.35091770126</v>
      </c>
      <c r="P171" s="51">
        <f t="shared" si="19"/>
        <v>7834.9643674715135</v>
      </c>
      <c r="Q171" s="63">
        <f>-PV(BondCalculator!$B$9/12,B171,0,1,0)</f>
        <v>0.43261505111172222</v>
      </c>
      <c r="S171" s="64">
        <f t="shared" si="20"/>
        <v>3389.5235102922111</v>
      </c>
    </row>
    <row r="172" spans="1:19" ht="16.05" customHeight="1" x14ac:dyDescent="0.25">
      <c r="A172" s="61" t="s">
        <v>108</v>
      </c>
      <c r="B172" s="72">
        <v>169</v>
      </c>
      <c r="C172" s="12">
        <f t="shared" si="26"/>
        <v>1382018.8144995917</v>
      </c>
      <c r="D172" s="12">
        <f>IF(G171=0,0,IF(G171&lt;BondCalculator!$B$12,G171+E172,BondCalculator!$B$12))</f>
        <v>26660.740787821473</v>
      </c>
      <c r="E172" s="12">
        <f>C172*BondCalculator!$B$5/12</f>
        <v>13244.346972287754</v>
      </c>
      <c r="F172" s="12">
        <f t="shared" si="21"/>
        <v>13416.393815533718</v>
      </c>
      <c r="G172" s="12">
        <f t="shared" si="22"/>
        <v>1368602.420684058</v>
      </c>
      <c r="H172" s="22">
        <f t="shared" si="23"/>
        <v>0.54744096827362321</v>
      </c>
      <c r="J172" s="51">
        <f t="shared" si="24"/>
        <v>554622.35091770126</v>
      </c>
      <c r="K172" s="51">
        <f>IF(N171=0,0,IF(N171&lt;BondCalculator!$B$12+BondCalculator!$B$7,N171+L172,BondCalculator!$B$12+BondCalculator!$B$7))</f>
        <v>28660.740787821473</v>
      </c>
      <c r="L172" s="51">
        <f>J172*BondCalculator!$B$5/12</f>
        <v>5315.130862961304</v>
      </c>
      <c r="M172" s="51">
        <f t="shared" si="25"/>
        <v>23345.609924860168</v>
      </c>
      <c r="N172" s="51">
        <f t="shared" si="18"/>
        <v>531276.74099284108</v>
      </c>
      <c r="P172" s="51">
        <f t="shared" si="19"/>
        <v>7929.2161093264504</v>
      </c>
      <c r="Q172" s="63">
        <f>-PV(BondCalculator!$B$9/12,B172,0,1,0)</f>
        <v>0.43046273742459928</v>
      </c>
      <c r="S172" s="64">
        <f t="shared" si="20"/>
        <v>3413.2320720518946</v>
      </c>
    </row>
    <row r="173" spans="1:19" ht="16.05" customHeight="1" x14ac:dyDescent="0.25">
      <c r="A173" s="61" t="s">
        <v>108</v>
      </c>
      <c r="B173" s="72">
        <v>170</v>
      </c>
      <c r="C173" s="12">
        <f t="shared" si="26"/>
        <v>1368602.420684058</v>
      </c>
      <c r="D173" s="12">
        <f>IF(G172=0,0,IF(G172&lt;BondCalculator!$B$12,G172+E173,BondCalculator!$B$12))</f>
        <v>26660.740787821473</v>
      </c>
      <c r="E173" s="12">
        <f>C173*BondCalculator!$B$5/12</f>
        <v>13115.773198222223</v>
      </c>
      <c r="F173" s="12">
        <f t="shared" si="21"/>
        <v>13544.96758959925</v>
      </c>
      <c r="G173" s="12">
        <f t="shared" si="22"/>
        <v>1355057.4530944587</v>
      </c>
      <c r="H173" s="22">
        <f t="shared" si="23"/>
        <v>0.54202298123778347</v>
      </c>
      <c r="J173" s="51">
        <f t="shared" si="24"/>
        <v>531276.74099284108</v>
      </c>
      <c r="K173" s="51">
        <f>IF(N172=0,0,IF(N172&lt;BondCalculator!$B$12+BondCalculator!$B$7,N172+L173,BondCalculator!$B$12+BondCalculator!$B$7))</f>
        <v>28660.740787821473</v>
      </c>
      <c r="L173" s="51">
        <f>J173*BondCalculator!$B$5/12</f>
        <v>5091.4021011813938</v>
      </c>
      <c r="M173" s="51">
        <f t="shared" si="25"/>
        <v>23569.33868664008</v>
      </c>
      <c r="N173" s="51">
        <f t="shared" si="18"/>
        <v>507707.40230620099</v>
      </c>
      <c r="P173" s="51">
        <f t="shared" si="19"/>
        <v>8024.3710970408292</v>
      </c>
      <c r="Q173" s="63">
        <f>-PV(BondCalculator!$B$9/12,B173,0,1,0)</f>
        <v>0.42832113176577052</v>
      </c>
      <c r="S173" s="64">
        <f t="shared" si="20"/>
        <v>3437.0077099930654</v>
      </c>
    </row>
    <row r="174" spans="1:19" ht="16.05" customHeight="1" x14ac:dyDescent="0.25">
      <c r="A174" s="61" t="s">
        <v>108</v>
      </c>
      <c r="B174" s="72">
        <v>171</v>
      </c>
      <c r="C174" s="12">
        <f t="shared" si="26"/>
        <v>1355057.4530944587</v>
      </c>
      <c r="D174" s="12">
        <f>IF(G173=0,0,IF(G173&lt;BondCalculator!$B$12,G173+E174,BondCalculator!$B$12))</f>
        <v>26660.740787821473</v>
      </c>
      <c r="E174" s="12">
        <f>C174*BondCalculator!$B$5/12</f>
        <v>12985.967258821896</v>
      </c>
      <c r="F174" s="12">
        <f t="shared" si="21"/>
        <v>13674.773528999576</v>
      </c>
      <c r="G174" s="12">
        <f t="shared" si="22"/>
        <v>1341382.679565459</v>
      </c>
      <c r="H174" s="22">
        <f t="shared" si="23"/>
        <v>0.53655307182618361</v>
      </c>
      <c r="J174" s="51">
        <f t="shared" si="24"/>
        <v>507707.40230620099</v>
      </c>
      <c r="K174" s="51">
        <f>IF(N173=0,0,IF(N173&lt;BondCalculator!$B$12+BondCalculator!$B$7,N173+L174,BondCalculator!$B$12+BondCalculator!$B$7))</f>
        <v>28660.740787821473</v>
      </c>
      <c r="L174" s="51">
        <f>J174*BondCalculator!$B$5/12</f>
        <v>4865.5292721010928</v>
      </c>
      <c r="M174" s="51">
        <f t="shared" si="25"/>
        <v>23795.211515720381</v>
      </c>
      <c r="N174" s="51">
        <f t="shared" si="18"/>
        <v>483912.19079048058</v>
      </c>
      <c r="P174" s="51">
        <f t="shared" si="19"/>
        <v>8120.4379867208036</v>
      </c>
      <c r="Q174" s="63">
        <f>-PV(BondCalculator!$B$9/12,B174,0,1,0)</f>
        <v>0.42619018086146321</v>
      </c>
      <c r="S174" s="64">
        <f t="shared" si="20"/>
        <v>3460.8509342348352</v>
      </c>
    </row>
    <row r="175" spans="1:19" ht="16.05" customHeight="1" x14ac:dyDescent="0.25">
      <c r="A175" s="61" t="s">
        <v>108</v>
      </c>
      <c r="B175" s="72">
        <v>172</v>
      </c>
      <c r="C175" s="12">
        <f t="shared" si="26"/>
        <v>1341382.679565459</v>
      </c>
      <c r="D175" s="12">
        <f>IF(G174=0,0,IF(G174&lt;BondCalculator!$B$12,G174+E175,BondCalculator!$B$12))</f>
        <v>26660.740787821473</v>
      </c>
      <c r="E175" s="12">
        <f>C175*BondCalculator!$B$5/12</f>
        <v>12854.917345835651</v>
      </c>
      <c r="F175" s="12">
        <f t="shared" si="21"/>
        <v>13805.823441985822</v>
      </c>
      <c r="G175" s="12">
        <f t="shared" si="22"/>
        <v>1327576.8561234733</v>
      </c>
      <c r="H175" s="22">
        <f t="shared" si="23"/>
        <v>0.5310307424493893</v>
      </c>
      <c r="J175" s="51">
        <f t="shared" si="24"/>
        <v>483912.19079048058</v>
      </c>
      <c r="K175" s="51">
        <f>IF(N174=0,0,IF(N174&lt;BondCalculator!$B$12+BondCalculator!$B$7,N174+L175,BondCalculator!$B$12+BondCalculator!$B$7))</f>
        <v>28660.740787821473</v>
      </c>
      <c r="L175" s="51">
        <f>J175*BondCalculator!$B$5/12</f>
        <v>4637.4918284087726</v>
      </c>
      <c r="M175" s="51">
        <f t="shared" si="25"/>
        <v>24023.2489594127</v>
      </c>
      <c r="N175" s="51">
        <f t="shared" si="18"/>
        <v>459888.9418310679</v>
      </c>
      <c r="P175" s="51">
        <f t="shared" si="19"/>
        <v>8217.4255174268783</v>
      </c>
      <c r="Q175" s="63">
        <f>-PV(BondCalculator!$B$9/12,B175,0,1,0)</f>
        <v>0.4240698317029486</v>
      </c>
      <c r="S175" s="64">
        <f t="shared" si="20"/>
        <v>3484.7622562067318</v>
      </c>
    </row>
    <row r="176" spans="1:19" ht="16.05" customHeight="1" x14ac:dyDescent="0.25">
      <c r="A176" s="61" t="s">
        <v>108</v>
      </c>
      <c r="B176" s="72">
        <v>173</v>
      </c>
      <c r="C176" s="12">
        <f t="shared" si="26"/>
        <v>1327576.8561234733</v>
      </c>
      <c r="D176" s="12">
        <f>IF(G175=0,0,IF(G175&lt;BondCalculator!$B$12,G175+E176,BondCalculator!$B$12))</f>
        <v>26660.740787821473</v>
      </c>
      <c r="E176" s="12">
        <f>C176*BondCalculator!$B$5/12</f>
        <v>12722.611537849953</v>
      </c>
      <c r="F176" s="12">
        <f t="shared" si="21"/>
        <v>13938.12924997152</v>
      </c>
      <c r="G176" s="12">
        <f t="shared" si="22"/>
        <v>1313638.7268735017</v>
      </c>
      <c r="H176" s="22">
        <f t="shared" si="23"/>
        <v>0.52545549074940068</v>
      </c>
      <c r="J176" s="51">
        <f t="shared" si="24"/>
        <v>459888.9418310679</v>
      </c>
      <c r="K176" s="51">
        <f>IF(N175=0,0,IF(N175&lt;BondCalculator!$B$12+BondCalculator!$B$7,N175+L176,BondCalculator!$B$12+BondCalculator!$B$7))</f>
        <v>28660.740787821473</v>
      </c>
      <c r="L176" s="51">
        <f>J176*BondCalculator!$B$5/12</f>
        <v>4407.269025881068</v>
      </c>
      <c r="M176" s="51">
        <f t="shared" si="25"/>
        <v>24253.471761940404</v>
      </c>
      <c r="N176" s="51">
        <f t="shared" si="18"/>
        <v>435635.47006912751</v>
      </c>
      <c r="P176" s="51">
        <f t="shared" si="19"/>
        <v>8315.3425119688836</v>
      </c>
      <c r="Q176" s="63">
        <f>-PV(BondCalculator!$B$9/12,B176,0,1,0)</f>
        <v>0.4219600315452226</v>
      </c>
      <c r="S176" s="64">
        <f t="shared" si="20"/>
        <v>3508.7421886597208</v>
      </c>
    </row>
    <row r="177" spans="1:19" ht="16.05" customHeight="1" x14ac:dyDescent="0.25">
      <c r="A177" s="61" t="s">
        <v>108</v>
      </c>
      <c r="B177" s="72">
        <v>174</v>
      </c>
      <c r="C177" s="12">
        <f t="shared" si="26"/>
        <v>1313638.7268735017</v>
      </c>
      <c r="D177" s="12">
        <f>IF(G176=0,0,IF(G176&lt;BondCalculator!$B$12,G176+E177,BondCalculator!$B$12))</f>
        <v>26660.740787821473</v>
      </c>
      <c r="E177" s="12">
        <f>C177*BondCalculator!$B$5/12</f>
        <v>12589.037799204392</v>
      </c>
      <c r="F177" s="12">
        <f t="shared" si="21"/>
        <v>14071.70298861708</v>
      </c>
      <c r="G177" s="12">
        <f t="shared" si="22"/>
        <v>1299567.0238848845</v>
      </c>
      <c r="H177" s="22">
        <f t="shared" si="23"/>
        <v>0.51982680955395377</v>
      </c>
      <c r="J177" s="51">
        <f t="shared" si="24"/>
        <v>435635.47006912751</v>
      </c>
      <c r="K177" s="51">
        <f>IF(N176=0,0,IF(N176&lt;BondCalculator!$B$12+BondCalculator!$B$7,N176+L177,BondCalculator!$B$12+BondCalculator!$B$7))</f>
        <v>28660.740787821473</v>
      </c>
      <c r="L177" s="51">
        <f>J177*BondCalculator!$B$5/12</f>
        <v>4174.8399214958054</v>
      </c>
      <c r="M177" s="51">
        <f t="shared" si="25"/>
        <v>24485.900866325668</v>
      </c>
      <c r="N177" s="51">
        <f t="shared" si="18"/>
        <v>411149.56920280185</v>
      </c>
      <c r="P177" s="51">
        <f t="shared" si="19"/>
        <v>8414.197877708586</v>
      </c>
      <c r="Q177" s="63">
        <f>-PV(BondCalculator!$B$9/12,B177,0,1,0)</f>
        <v>0.41986072790569412</v>
      </c>
      <c r="S177" s="64">
        <f t="shared" si="20"/>
        <v>3532.7912456772738</v>
      </c>
    </row>
    <row r="178" spans="1:19" ht="16.05" customHeight="1" x14ac:dyDescent="0.25">
      <c r="A178" s="61" t="s">
        <v>108</v>
      </c>
      <c r="B178" s="72">
        <v>175</v>
      </c>
      <c r="C178" s="12">
        <f t="shared" si="26"/>
        <v>1299567.0238848845</v>
      </c>
      <c r="D178" s="12">
        <f>IF(G177=0,0,IF(G177&lt;BondCalculator!$B$12,G177+E178,BondCalculator!$B$12))</f>
        <v>26660.740787821473</v>
      </c>
      <c r="E178" s="12">
        <f>C178*BondCalculator!$B$5/12</f>
        <v>12454.183978896812</v>
      </c>
      <c r="F178" s="12">
        <f t="shared" si="21"/>
        <v>14206.556808924661</v>
      </c>
      <c r="G178" s="12">
        <f t="shared" si="22"/>
        <v>1285360.4670759598</v>
      </c>
      <c r="H178" s="22">
        <f t="shared" si="23"/>
        <v>0.51414418683038388</v>
      </c>
      <c r="J178" s="51">
        <f t="shared" si="24"/>
        <v>411149.56920280185</v>
      </c>
      <c r="K178" s="51">
        <f>IF(N177=0,0,IF(N177&lt;BondCalculator!$B$12+BondCalculator!$B$7,N177+L178,BondCalculator!$B$12+BondCalculator!$B$7))</f>
        <v>28660.740787821473</v>
      </c>
      <c r="L178" s="51">
        <f>J178*BondCalculator!$B$5/12</f>
        <v>3940.1833715268513</v>
      </c>
      <c r="M178" s="51">
        <f t="shared" si="25"/>
        <v>24720.557416294621</v>
      </c>
      <c r="N178" s="51">
        <f t="shared" si="18"/>
        <v>386429.01178650721</v>
      </c>
      <c r="P178" s="51">
        <f t="shared" si="19"/>
        <v>8514.0006073699606</v>
      </c>
      <c r="Q178" s="63">
        <f>-PV(BondCalculator!$B$9/12,B178,0,1,0)</f>
        <v>0.41777186856287984</v>
      </c>
      <c r="S178" s="64">
        <f t="shared" si="20"/>
        <v>3556.9099426864423</v>
      </c>
    </row>
    <row r="179" spans="1:19" ht="16.05" customHeight="1" x14ac:dyDescent="0.25">
      <c r="A179" s="61" t="s">
        <v>108</v>
      </c>
      <c r="B179" s="72">
        <v>176</v>
      </c>
      <c r="C179" s="12">
        <f t="shared" si="26"/>
        <v>1285360.4670759598</v>
      </c>
      <c r="D179" s="12">
        <f>IF(G178=0,0,IF(G178&lt;BondCalculator!$B$12,G178+E179,BondCalculator!$B$12))</f>
        <v>26660.740787821473</v>
      </c>
      <c r="E179" s="12">
        <f>C179*BondCalculator!$B$5/12</f>
        <v>12318.03780947795</v>
      </c>
      <c r="F179" s="12">
        <f t="shared" si="21"/>
        <v>14342.702978343523</v>
      </c>
      <c r="G179" s="12">
        <f t="shared" si="22"/>
        <v>1271017.7640976163</v>
      </c>
      <c r="H179" s="22">
        <f t="shared" si="23"/>
        <v>0.50840710563904656</v>
      </c>
      <c r="J179" s="51">
        <f t="shared" si="24"/>
        <v>386429.01178650721</v>
      </c>
      <c r="K179" s="51">
        <f>IF(N178=0,0,IF(N178&lt;BondCalculator!$B$12+BondCalculator!$B$7,N178+L179,BondCalculator!$B$12+BondCalculator!$B$7))</f>
        <v>28660.740787821473</v>
      </c>
      <c r="L179" s="51">
        <f>J179*BondCalculator!$B$5/12</f>
        <v>3703.2780296206943</v>
      </c>
      <c r="M179" s="51">
        <f t="shared" si="25"/>
        <v>24957.462758200778</v>
      </c>
      <c r="N179" s="51">
        <f t="shared" si="18"/>
        <v>361471.54902830644</v>
      </c>
      <c r="P179" s="51">
        <f t="shared" si="19"/>
        <v>8614.7597798572551</v>
      </c>
      <c r="Q179" s="63">
        <f>-PV(BondCalculator!$B$9/12,B179,0,1,0)</f>
        <v>0.41569340155510437</v>
      </c>
      <c r="S179" s="64">
        <f t="shared" si="20"/>
        <v>3581.0987964689643</v>
      </c>
    </row>
    <row r="180" spans="1:19" ht="16.05" customHeight="1" x14ac:dyDescent="0.25">
      <c r="A180" s="61" t="s">
        <v>108</v>
      </c>
      <c r="B180" s="72">
        <v>177</v>
      </c>
      <c r="C180" s="12">
        <f t="shared" si="26"/>
        <v>1271017.7640976163</v>
      </c>
      <c r="D180" s="12">
        <f>IF(G179=0,0,IF(G179&lt;BondCalculator!$B$12,G179+E180,BondCalculator!$B$12))</f>
        <v>26660.740787821473</v>
      </c>
      <c r="E180" s="12">
        <f>C180*BondCalculator!$B$5/12</f>
        <v>12180.58690593549</v>
      </c>
      <c r="F180" s="12">
        <f t="shared" si="21"/>
        <v>14480.153881885983</v>
      </c>
      <c r="G180" s="12">
        <f t="shared" si="22"/>
        <v>1256537.6102157303</v>
      </c>
      <c r="H180" s="22">
        <f t="shared" si="23"/>
        <v>0.5026150440862921</v>
      </c>
      <c r="J180" s="51">
        <f t="shared" si="24"/>
        <v>361471.54902830644</v>
      </c>
      <c r="K180" s="51">
        <f>IF(N179=0,0,IF(N179&lt;BondCalculator!$B$12+BondCalculator!$B$7,N179+L180,BondCalculator!$B$12+BondCalculator!$B$7))</f>
        <v>28660.740787821473</v>
      </c>
      <c r="L180" s="51">
        <f>J180*BondCalculator!$B$5/12</f>
        <v>3464.1023448546034</v>
      </c>
      <c r="M180" s="51">
        <f t="shared" si="25"/>
        <v>25196.638442966869</v>
      </c>
      <c r="N180" s="51">
        <f t="shared" si="18"/>
        <v>336274.91058533959</v>
      </c>
      <c r="P180" s="51">
        <f t="shared" si="19"/>
        <v>8716.4845610808861</v>
      </c>
      <c r="Q180" s="63">
        <f>-PV(BondCalculator!$B$9/12,B180,0,1,0)</f>
        <v>0.41362527517920833</v>
      </c>
      <c r="S180" s="64">
        <f t="shared" si="20"/>
        <v>3605.3583251724026</v>
      </c>
    </row>
    <row r="181" spans="1:19" ht="16.05" customHeight="1" x14ac:dyDescent="0.25">
      <c r="A181" s="61" t="s">
        <v>108</v>
      </c>
      <c r="B181" s="72">
        <v>178</v>
      </c>
      <c r="C181" s="12">
        <f t="shared" si="26"/>
        <v>1256537.6102157303</v>
      </c>
      <c r="D181" s="12">
        <f>IF(G180=0,0,IF(G180&lt;BondCalculator!$B$12,G180+E181,BondCalculator!$B$12))</f>
        <v>26660.740787821473</v>
      </c>
      <c r="E181" s="12">
        <f>C181*BondCalculator!$B$5/12</f>
        <v>12041.818764567417</v>
      </c>
      <c r="F181" s="12">
        <f t="shared" si="21"/>
        <v>14618.922023254056</v>
      </c>
      <c r="G181" s="12">
        <f t="shared" si="22"/>
        <v>1241918.6881924763</v>
      </c>
      <c r="H181" s="22">
        <f t="shared" si="23"/>
        <v>0.4967674752769905</v>
      </c>
      <c r="J181" s="51">
        <f t="shared" si="24"/>
        <v>336274.91058533959</v>
      </c>
      <c r="K181" s="51">
        <f>IF(N180=0,0,IF(N180&lt;BondCalculator!$B$12+BondCalculator!$B$7,N180+L181,BondCalculator!$B$12+BondCalculator!$B$7))</f>
        <v>28660.740787821473</v>
      </c>
      <c r="L181" s="51">
        <f>J181*BondCalculator!$B$5/12</f>
        <v>3222.6345597761715</v>
      </c>
      <c r="M181" s="51">
        <f t="shared" si="25"/>
        <v>25438.106228045301</v>
      </c>
      <c r="N181" s="51">
        <f t="shared" si="18"/>
        <v>310836.80435729428</v>
      </c>
      <c r="P181" s="51">
        <f t="shared" si="19"/>
        <v>8819.1842047912451</v>
      </c>
      <c r="Q181" s="63">
        <f>-PV(BondCalculator!$B$9/12,B181,0,1,0)</f>
        <v>0.41156743798926215</v>
      </c>
      <c r="S181" s="64">
        <f t="shared" si="20"/>
        <v>3629.689048321301</v>
      </c>
    </row>
    <row r="182" spans="1:19" ht="16.05" customHeight="1" x14ac:dyDescent="0.25">
      <c r="A182" s="61" t="s">
        <v>108</v>
      </c>
      <c r="B182" s="72">
        <v>179</v>
      </c>
      <c r="C182" s="12">
        <f t="shared" si="26"/>
        <v>1241918.6881924763</v>
      </c>
      <c r="D182" s="12">
        <f>IF(G181=0,0,IF(G181&lt;BondCalculator!$B$12,G181+E182,BondCalculator!$B$12))</f>
        <v>26660.740787821473</v>
      </c>
      <c r="E182" s="12">
        <f>C182*BondCalculator!$B$5/12</f>
        <v>11901.720761844566</v>
      </c>
      <c r="F182" s="12">
        <f t="shared" si="21"/>
        <v>14759.020025976906</v>
      </c>
      <c r="G182" s="12">
        <f t="shared" si="22"/>
        <v>1227159.6681664994</v>
      </c>
      <c r="H182" s="22">
        <f t="shared" si="23"/>
        <v>0.49086386726659975</v>
      </c>
      <c r="J182" s="51">
        <f t="shared" si="24"/>
        <v>310836.80435729428</v>
      </c>
      <c r="K182" s="51">
        <f>IF(N181=0,0,IF(N181&lt;BondCalculator!$B$12+BondCalculator!$B$7,N181+L182,BondCalculator!$B$12+BondCalculator!$B$7))</f>
        <v>28660.740787821473</v>
      </c>
      <c r="L182" s="51">
        <f>J182*BondCalculator!$B$5/12</f>
        <v>2978.8527084240704</v>
      </c>
      <c r="M182" s="51">
        <f t="shared" si="25"/>
        <v>25681.888079397402</v>
      </c>
      <c r="N182" s="51">
        <f t="shared" si="18"/>
        <v>285154.9162778969</v>
      </c>
      <c r="P182" s="51">
        <f t="shared" si="19"/>
        <v>8922.8680534204959</v>
      </c>
      <c r="Q182" s="63">
        <f>-PV(BondCalculator!$B$9/12,B182,0,1,0)</f>
        <v>0.40951983879528581</v>
      </c>
      <c r="S182" s="64">
        <f t="shared" si="20"/>
        <v>3654.0914868283671</v>
      </c>
    </row>
    <row r="183" spans="1:19" ht="16.05" customHeight="1" x14ac:dyDescent="0.25">
      <c r="A183" s="61" t="s">
        <v>108</v>
      </c>
      <c r="B183" s="72">
        <v>180</v>
      </c>
      <c r="C183" s="12">
        <f t="shared" si="26"/>
        <v>1227159.6681664994</v>
      </c>
      <c r="D183" s="12">
        <f>IF(G182=0,0,IF(G182&lt;BondCalculator!$B$12,G182+E183,BondCalculator!$B$12))</f>
        <v>26660.740787821473</v>
      </c>
      <c r="E183" s="12">
        <f>C183*BondCalculator!$B$5/12</f>
        <v>11760.280153262285</v>
      </c>
      <c r="F183" s="12">
        <f t="shared" si="21"/>
        <v>14900.460634559187</v>
      </c>
      <c r="G183" s="12">
        <f t="shared" si="22"/>
        <v>1212259.2075319402</v>
      </c>
      <c r="H183" s="22">
        <f t="shared" si="23"/>
        <v>0.48490368301277609</v>
      </c>
      <c r="J183" s="51">
        <f t="shared" si="24"/>
        <v>285154.9162778969</v>
      </c>
      <c r="K183" s="51">
        <f>IF(N182=0,0,IF(N182&lt;BondCalculator!$B$12+BondCalculator!$B$7,N182+L183,BondCalculator!$B$12+BondCalculator!$B$7))</f>
        <v>28660.740787821473</v>
      </c>
      <c r="L183" s="51">
        <f>J183*BondCalculator!$B$5/12</f>
        <v>2732.7346143298455</v>
      </c>
      <c r="M183" s="51">
        <f t="shared" si="25"/>
        <v>25928.006173491627</v>
      </c>
      <c r="N183" s="51">
        <f t="shared" si="18"/>
        <v>259226.91010440528</v>
      </c>
      <c r="P183" s="51">
        <f t="shared" si="19"/>
        <v>9027.5455389324397</v>
      </c>
      <c r="Q183" s="63">
        <f>-PV(BondCalculator!$B$9/12,B183,0,1,0)</f>
        <v>0.40748242666197593</v>
      </c>
      <c r="S183" s="64">
        <f t="shared" si="20"/>
        <v>3678.5661630056857</v>
      </c>
    </row>
    <row r="184" spans="1:19" ht="16.05" customHeight="1" x14ac:dyDescent="0.25">
      <c r="A184" s="61" t="s">
        <v>109</v>
      </c>
      <c r="B184" s="72">
        <v>181</v>
      </c>
      <c r="C184" s="12">
        <f t="shared" si="26"/>
        <v>1212259.2075319402</v>
      </c>
      <c r="D184" s="12">
        <f>IF(G183=0,0,IF(G183&lt;BondCalculator!$B$12,G183+E184,BondCalculator!$B$12))</f>
        <v>26660.740787821473</v>
      </c>
      <c r="E184" s="12">
        <f>C184*BondCalculator!$B$5/12</f>
        <v>11617.484072181092</v>
      </c>
      <c r="F184" s="12">
        <f t="shared" si="21"/>
        <v>15043.25671564038</v>
      </c>
      <c r="G184" s="12">
        <f t="shared" si="22"/>
        <v>1197215.9508162998</v>
      </c>
      <c r="H184" s="22">
        <f t="shared" si="23"/>
        <v>0.47888638032651992</v>
      </c>
      <c r="J184" s="51">
        <f t="shared" si="24"/>
        <v>259226.91010440528</v>
      </c>
      <c r="K184" s="51">
        <f>IF(N183=0,0,IF(N183&lt;BondCalculator!$B$12+BondCalculator!$B$7,N183+L184,BondCalculator!$B$12+BondCalculator!$B$7))</f>
        <v>28660.740787821473</v>
      </c>
      <c r="L184" s="51">
        <f>J184*BondCalculator!$B$5/12</f>
        <v>2484.257888500551</v>
      </c>
      <c r="M184" s="51">
        <f t="shared" si="25"/>
        <v>26176.482899320923</v>
      </c>
      <c r="N184" s="51">
        <f t="shared" si="18"/>
        <v>233050.42720508436</v>
      </c>
      <c r="P184" s="51">
        <f t="shared" si="19"/>
        <v>9133.226183680541</v>
      </c>
      <c r="Q184" s="63">
        <f>-PV(BondCalculator!$B$9/12,B184,0,1,0)</f>
        <v>0.40545515090743878</v>
      </c>
      <c r="S184" s="64">
        <f t="shared" si="20"/>
        <v>3703.1136005759649</v>
      </c>
    </row>
    <row r="185" spans="1:19" ht="16.05" customHeight="1" x14ac:dyDescent="0.25">
      <c r="A185" s="61" t="s">
        <v>109</v>
      </c>
      <c r="B185" s="72">
        <v>182</v>
      </c>
      <c r="C185" s="12">
        <f t="shared" si="26"/>
        <v>1197215.9508162998</v>
      </c>
      <c r="D185" s="12">
        <f>IF(G184=0,0,IF(G184&lt;BondCalculator!$B$12,G184+E185,BondCalculator!$B$12))</f>
        <v>26660.740787821473</v>
      </c>
      <c r="E185" s="12">
        <f>C185*BondCalculator!$B$5/12</f>
        <v>11473.319528656206</v>
      </c>
      <c r="F185" s="12">
        <f t="shared" si="21"/>
        <v>15187.421259165267</v>
      </c>
      <c r="G185" s="12">
        <f t="shared" si="22"/>
        <v>1182028.5295571345</v>
      </c>
      <c r="H185" s="22">
        <f t="shared" si="23"/>
        <v>0.4728114118228538</v>
      </c>
      <c r="J185" s="51">
        <f t="shared" si="24"/>
        <v>233050.42720508436</v>
      </c>
      <c r="K185" s="51">
        <f>IF(N184=0,0,IF(N184&lt;BondCalculator!$B$12+BondCalculator!$B$7,N184+L185,BondCalculator!$B$12+BondCalculator!$B$7))</f>
        <v>28660.740787821473</v>
      </c>
      <c r="L185" s="51">
        <f>J185*BondCalculator!$B$5/12</f>
        <v>2233.3999273820586</v>
      </c>
      <c r="M185" s="51">
        <f t="shared" si="25"/>
        <v>26427.340860439414</v>
      </c>
      <c r="N185" s="51">
        <f t="shared" si="18"/>
        <v>206623.08634464495</v>
      </c>
      <c r="P185" s="51">
        <f t="shared" si="19"/>
        <v>9239.9196012741468</v>
      </c>
      <c r="Q185" s="63">
        <f>-PV(BondCalculator!$B$9/12,B185,0,1,0)</f>
        <v>0.40343796110192925</v>
      </c>
      <c r="S185" s="64">
        <f t="shared" si="20"/>
        <v>3727.7343246837927</v>
      </c>
    </row>
    <row r="186" spans="1:19" ht="16.05" customHeight="1" x14ac:dyDescent="0.25">
      <c r="A186" s="61" t="s">
        <v>109</v>
      </c>
      <c r="B186" s="72">
        <v>183</v>
      </c>
      <c r="C186" s="12">
        <f t="shared" si="26"/>
        <v>1182028.5295571345</v>
      </c>
      <c r="D186" s="12">
        <f>IF(G185=0,0,IF(G185&lt;BondCalculator!$B$12,G185+E186,BondCalculator!$B$12))</f>
        <v>26660.740787821473</v>
      </c>
      <c r="E186" s="12">
        <f>C186*BondCalculator!$B$5/12</f>
        <v>11327.773408255873</v>
      </c>
      <c r="F186" s="12">
        <f t="shared" si="21"/>
        <v>15332.9673795656</v>
      </c>
      <c r="G186" s="12">
        <f t="shared" si="22"/>
        <v>1166695.5621775689</v>
      </c>
      <c r="H186" s="22">
        <f t="shared" si="23"/>
        <v>0.46667822487102756</v>
      </c>
      <c r="J186" s="51">
        <f t="shared" si="24"/>
        <v>206623.08634464495</v>
      </c>
      <c r="K186" s="51">
        <f>IF(N185=0,0,IF(N185&lt;BondCalculator!$B$12+BondCalculator!$B$7,N185+L186,BondCalculator!$B$12+BondCalculator!$B$7))</f>
        <v>28660.740787821473</v>
      </c>
      <c r="L186" s="51">
        <f>J186*BondCalculator!$B$5/12</f>
        <v>1980.1379108028475</v>
      </c>
      <c r="M186" s="51">
        <f t="shared" si="25"/>
        <v>26680.602877018624</v>
      </c>
      <c r="N186" s="51">
        <f t="shared" si="18"/>
        <v>179942.48346762633</v>
      </c>
      <c r="P186" s="51">
        <f t="shared" si="19"/>
        <v>9347.6354974530259</v>
      </c>
      <c r="Q186" s="63">
        <f>-PV(BondCalculator!$B$9/12,B186,0,1,0)</f>
        <v>0.40143080706659628</v>
      </c>
      <c r="S186" s="64">
        <f t="shared" si="20"/>
        <v>3752.4288619069325</v>
      </c>
    </row>
    <row r="187" spans="1:19" ht="16.05" customHeight="1" x14ac:dyDescent="0.25">
      <c r="A187" s="61" t="s">
        <v>109</v>
      </c>
      <c r="B187" s="72">
        <v>184</v>
      </c>
      <c r="C187" s="12">
        <f t="shared" si="26"/>
        <v>1166695.5621775689</v>
      </c>
      <c r="D187" s="12">
        <f>IF(G186=0,0,IF(G186&lt;BondCalculator!$B$12,G186+E187,BondCalculator!$B$12))</f>
        <v>26660.740787821473</v>
      </c>
      <c r="E187" s="12">
        <f>C187*BondCalculator!$B$5/12</f>
        <v>11180.83247086837</v>
      </c>
      <c r="F187" s="12">
        <f t="shared" si="21"/>
        <v>15479.908316953102</v>
      </c>
      <c r="G187" s="12">
        <f t="shared" si="22"/>
        <v>1151215.6538606158</v>
      </c>
      <c r="H187" s="22">
        <f t="shared" si="23"/>
        <v>0.46048626154424632</v>
      </c>
      <c r="J187" s="51">
        <f t="shared" si="24"/>
        <v>179942.48346762633</v>
      </c>
      <c r="K187" s="51">
        <f>IF(N186=0,0,IF(N186&lt;BondCalculator!$B$12+BondCalculator!$B$7,N186+L187,BondCalculator!$B$12+BondCalculator!$B$7))</f>
        <v>28660.740787821473</v>
      </c>
      <c r="L187" s="51">
        <f>J187*BondCalculator!$B$5/12</f>
        <v>1724.4487998980858</v>
      </c>
      <c r="M187" s="51">
        <f t="shared" si="25"/>
        <v>26936.291987923389</v>
      </c>
      <c r="N187" s="51">
        <f t="shared" si="18"/>
        <v>153006.19147970295</v>
      </c>
      <c r="P187" s="51">
        <f t="shared" si="19"/>
        <v>9456.3836709702846</v>
      </c>
      <c r="Q187" s="63">
        <f>-PV(BondCalculator!$B$9/12,B187,0,1,0)</f>
        <v>0.39943363887223515</v>
      </c>
      <c r="S187" s="64">
        <f t="shared" si="20"/>
        <v>3777.1977402676462</v>
      </c>
    </row>
    <row r="188" spans="1:19" ht="16.05" customHeight="1" x14ac:dyDescent="0.25">
      <c r="A188" s="61" t="s">
        <v>109</v>
      </c>
      <c r="B188" s="72">
        <v>185</v>
      </c>
      <c r="C188" s="12">
        <f t="shared" si="26"/>
        <v>1151215.6538606158</v>
      </c>
      <c r="D188" s="12">
        <f>IF(G187=0,0,IF(G187&lt;BondCalculator!$B$12,G187+E188,BondCalculator!$B$12))</f>
        <v>26660.740787821473</v>
      </c>
      <c r="E188" s="12">
        <f>C188*BondCalculator!$B$5/12</f>
        <v>11032.483349497568</v>
      </c>
      <c r="F188" s="12">
        <f t="shared" si="21"/>
        <v>15628.257438323904</v>
      </c>
      <c r="G188" s="12">
        <f t="shared" si="22"/>
        <v>1135587.3964222919</v>
      </c>
      <c r="H188" s="22">
        <f t="shared" si="23"/>
        <v>0.45423495856891677</v>
      </c>
      <c r="J188" s="51">
        <f t="shared" si="24"/>
        <v>153006.19147970295</v>
      </c>
      <c r="K188" s="51">
        <f>IF(N187=0,0,IF(N187&lt;BondCalculator!$B$12+BondCalculator!$B$7,N187+L188,BondCalculator!$B$12+BondCalculator!$B$7))</f>
        <v>28660.740787821473</v>
      </c>
      <c r="L188" s="51">
        <f>J188*BondCalculator!$B$5/12</f>
        <v>1466.3093350138199</v>
      </c>
      <c r="M188" s="51">
        <f t="shared" si="25"/>
        <v>27194.431452807654</v>
      </c>
      <c r="N188" s="51">
        <f t="shared" si="18"/>
        <v>125811.7600268953</v>
      </c>
      <c r="P188" s="51">
        <f t="shared" si="19"/>
        <v>9566.1740144837477</v>
      </c>
      <c r="Q188" s="63">
        <f>-PV(BondCalculator!$B$9/12,B188,0,1,0)</f>
        <v>0.397446406838045</v>
      </c>
      <c r="S188" s="64">
        <f t="shared" si="20"/>
        <v>3802.0414892440417</v>
      </c>
    </row>
    <row r="189" spans="1:19" ht="16.05" customHeight="1" x14ac:dyDescent="0.25">
      <c r="A189" s="61" t="s">
        <v>109</v>
      </c>
      <c r="B189" s="72">
        <v>186</v>
      </c>
      <c r="C189" s="12">
        <f t="shared" si="26"/>
        <v>1135587.3964222919</v>
      </c>
      <c r="D189" s="12">
        <f>IF(G188=0,0,IF(G188&lt;BondCalculator!$B$12,G188+E189,BondCalculator!$B$12))</f>
        <v>26660.740787821473</v>
      </c>
      <c r="E189" s="12">
        <f>C189*BondCalculator!$B$5/12</f>
        <v>10882.712549046964</v>
      </c>
      <c r="F189" s="12">
        <f t="shared" si="21"/>
        <v>15778.028238774508</v>
      </c>
      <c r="G189" s="12">
        <f t="shared" si="22"/>
        <v>1119809.3681835174</v>
      </c>
      <c r="H189" s="22">
        <f t="shared" si="23"/>
        <v>0.44792374727340695</v>
      </c>
      <c r="J189" s="51">
        <f t="shared" si="24"/>
        <v>125811.7600268953</v>
      </c>
      <c r="K189" s="51">
        <f>IF(N188=0,0,IF(N188&lt;BondCalculator!$B$12+BondCalculator!$B$7,N188+L189,BondCalculator!$B$12+BondCalculator!$B$7))</f>
        <v>28660.740787821473</v>
      </c>
      <c r="L189" s="51">
        <f>J189*BondCalculator!$B$5/12</f>
        <v>1205.6960335910801</v>
      </c>
      <c r="M189" s="51">
        <f t="shared" si="25"/>
        <v>27455.044754230392</v>
      </c>
      <c r="N189" s="51">
        <f t="shared" si="18"/>
        <v>98356.715272664907</v>
      </c>
      <c r="P189" s="51">
        <f t="shared" si="19"/>
        <v>9677.0165154558836</v>
      </c>
      <c r="Q189" s="63">
        <f>-PV(BondCalculator!$B$9/12,B189,0,1,0)</f>
        <v>0.39546906153039313</v>
      </c>
      <c r="S189" s="64">
        <f t="shared" si="20"/>
        <v>3826.9606397814532</v>
      </c>
    </row>
    <row r="190" spans="1:19" ht="16.05" customHeight="1" x14ac:dyDescent="0.25">
      <c r="A190" s="61" t="s">
        <v>109</v>
      </c>
      <c r="B190" s="72">
        <v>187</v>
      </c>
      <c r="C190" s="12">
        <f t="shared" si="26"/>
        <v>1119809.3681835174</v>
      </c>
      <c r="D190" s="12">
        <f>IF(G189=0,0,IF(G189&lt;BondCalculator!$B$12,G189+E190,BondCalculator!$B$12))</f>
        <v>26660.740787821473</v>
      </c>
      <c r="E190" s="12">
        <f>C190*BondCalculator!$B$5/12</f>
        <v>10731.506445092042</v>
      </c>
      <c r="F190" s="12">
        <f t="shared" si="21"/>
        <v>15929.234342729431</v>
      </c>
      <c r="G190" s="12">
        <f t="shared" si="22"/>
        <v>1103880.1338407879</v>
      </c>
      <c r="H190" s="22">
        <f t="shared" si="23"/>
        <v>0.44155205353631516</v>
      </c>
      <c r="J190" s="51">
        <f t="shared" si="24"/>
        <v>98356.715272664907</v>
      </c>
      <c r="K190" s="51">
        <f>IF(N189=0,0,IF(N189&lt;BondCalculator!$B$12+BondCalculator!$B$7,N189+L190,BondCalculator!$B$12+BondCalculator!$B$7))</f>
        <v>28660.740787821473</v>
      </c>
      <c r="L190" s="51">
        <f>J190*BondCalculator!$B$5/12</f>
        <v>942.58518802970548</v>
      </c>
      <c r="M190" s="51">
        <f t="shared" si="25"/>
        <v>27718.155599791768</v>
      </c>
      <c r="N190" s="51">
        <f t="shared" si="18"/>
        <v>70638.559672873147</v>
      </c>
      <c r="P190" s="51">
        <f t="shared" si="19"/>
        <v>9788.9212570623367</v>
      </c>
      <c r="Q190" s="63">
        <f>-PV(BondCalculator!$B$9/12,B190,0,1,0)</f>
        <v>0.39350155376158519</v>
      </c>
      <c r="S190" s="64">
        <f t="shared" si="20"/>
        <v>3851.9557243038394</v>
      </c>
    </row>
    <row r="191" spans="1:19" ht="16.05" customHeight="1" x14ac:dyDescent="0.25">
      <c r="A191" s="61" t="s">
        <v>109</v>
      </c>
      <c r="B191" s="72">
        <v>188</v>
      </c>
      <c r="C191" s="12">
        <f t="shared" si="26"/>
        <v>1103880.1338407879</v>
      </c>
      <c r="D191" s="12">
        <f>IF(G190=0,0,IF(G190&lt;BondCalculator!$B$12,G190+E191,BondCalculator!$B$12))</f>
        <v>26660.740787821473</v>
      </c>
      <c r="E191" s="12">
        <f>C191*BondCalculator!$B$5/12</f>
        <v>10578.851282640884</v>
      </c>
      <c r="F191" s="12">
        <f t="shared" si="21"/>
        <v>16081.889505180588</v>
      </c>
      <c r="G191" s="12">
        <f t="shared" si="22"/>
        <v>1087798.2443356074</v>
      </c>
      <c r="H191" s="22">
        <f t="shared" si="23"/>
        <v>0.43511929773424296</v>
      </c>
      <c r="J191" s="51">
        <f t="shared" si="24"/>
        <v>70638.559672873147</v>
      </c>
      <c r="K191" s="51">
        <f>IF(N190=0,0,IF(N190&lt;BondCalculator!$B$12+BondCalculator!$B$7,N190+L191,BondCalculator!$B$12+BondCalculator!$B$7))</f>
        <v>28660.740787821473</v>
      </c>
      <c r="L191" s="51">
        <f>J191*BondCalculator!$B$5/12</f>
        <v>676.95286353170104</v>
      </c>
      <c r="M191" s="51">
        <f t="shared" si="25"/>
        <v>27983.787924289772</v>
      </c>
      <c r="N191" s="51">
        <f t="shared" si="18"/>
        <v>42654.771748583371</v>
      </c>
      <c r="P191" s="51">
        <f t="shared" si="19"/>
        <v>9901.898419109184</v>
      </c>
      <c r="Q191" s="63">
        <f>-PV(BondCalculator!$B$9/12,B191,0,1,0)</f>
        <v>0.39154383458864206</v>
      </c>
      <c r="S191" s="64">
        <f t="shared" si="20"/>
        <v>3877.0272767252227</v>
      </c>
    </row>
    <row r="192" spans="1:19" ht="16.05" customHeight="1" x14ac:dyDescent="0.25">
      <c r="A192" s="61" t="s">
        <v>109</v>
      </c>
      <c r="B192" s="72">
        <v>189</v>
      </c>
      <c r="C192" s="12">
        <f t="shared" si="26"/>
        <v>1087798.2443356074</v>
      </c>
      <c r="D192" s="12">
        <f>IF(G191=0,0,IF(G191&lt;BondCalculator!$B$12,G191+E192,BondCalculator!$B$12))</f>
        <v>26660.740787821473</v>
      </c>
      <c r="E192" s="12">
        <f>C192*BondCalculator!$B$5/12</f>
        <v>10424.733174882904</v>
      </c>
      <c r="F192" s="12">
        <f t="shared" si="21"/>
        <v>16236.007612938569</v>
      </c>
      <c r="G192" s="12">
        <f t="shared" si="22"/>
        <v>1071562.2367226689</v>
      </c>
      <c r="H192" s="22">
        <f t="shared" si="23"/>
        <v>0.42862489468906756</v>
      </c>
      <c r="J192" s="51">
        <f t="shared" si="24"/>
        <v>42654.771748583371</v>
      </c>
      <c r="K192" s="51">
        <f>IF(N191=0,0,IF(N191&lt;BondCalculator!$B$12+BondCalculator!$B$7,N191+L192,BondCalculator!$B$12+BondCalculator!$B$7))</f>
        <v>28660.740787821473</v>
      </c>
      <c r="L192" s="51">
        <f>J192*BondCalculator!$B$5/12</f>
        <v>408.77489592392402</v>
      </c>
      <c r="M192" s="51">
        <f t="shared" si="25"/>
        <v>28251.965891897547</v>
      </c>
      <c r="N192" s="51">
        <f t="shared" si="18"/>
        <v>14402.805856685824</v>
      </c>
      <c r="P192" s="51">
        <f t="shared" si="19"/>
        <v>10015.95827895898</v>
      </c>
      <c r="Q192" s="63">
        <f>-PV(BondCalculator!$B$9/12,B192,0,1,0)</f>
        <v>0.38959585531208174</v>
      </c>
      <c r="S192" s="64">
        <f t="shared" si="20"/>
        <v>3902.1758324611501</v>
      </c>
    </row>
    <row r="193" spans="1:19" ht="16.05" customHeight="1" x14ac:dyDescent="0.25">
      <c r="A193" s="61" t="s">
        <v>109</v>
      </c>
      <c r="B193" s="72">
        <v>190</v>
      </c>
      <c r="C193" s="12">
        <f t="shared" si="26"/>
        <v>1071562.2367226689</v>
      </c>
      <c r="D193" s="12">
        <f>IF(G192=0,0,IF(G192&lt;BondCalculator!$B$12,G192+E193,BondCalculator!$B$12))</f>
        <v>26660.740787821473</v>
      </c>
      <c r="E193" s="12">
        <f>C193*BondCalculator!$B$5/12</f>
        <v>10269.138101925577</v>
      </c>
      <c r="F193" s="12">
        <f t="shared" si="21"/>
        <v>16391.602685895894</v>
      </c>
      <c r="G193" s="12">
        <f t="shared" si="22"/>
        <v>1055170.6340367729</v>
      </c>
      <c r="H193" s="22">
        <f t="shared" si="23"/>
        <v>0.42206825361470918</v>
      </c>
      <c r="J193" s="51">
        <f t="shared" si="24"/>
        <v>14402.805856685824</v>
      </c>
      <c r="K193" s="51">
        <f>IF(N192=0,0,IF(N192&lt;BondCalculator!$B$12+BondCalculator!$B$7,N192+L193,BondCalculator!$B$12+BondCalculator!$B$7))</f>
        <v>14540.83274614573</v>
      </c>
      <c r="L193" s="51">
        <f>J193*BondCalculator!$B$5/12</f>
        <v>138.02688945990582</v>
      </c>
      <c r="M193" s="51">
        <f t="shared" si="25"/>
        <v>14402.805856685824</v>
      </c>
      <c r="N193" s="51">
        <f t="shared" si="18"/>
        <v>0</v>
      </c>
      <c r="P193" s="51">
        <f t="shared" si="19"/>
        <v>10131.11121246567</v>
      </c>
      <c r="Q193" s="63">
        <f>-PV(BondCalculator!$B$9/12,B193,0,1,0)</f>
        <v>0.38765756747470831</v>
      </c>
      <c r="S193" s="64">
        <f t="shared" si="20"/>
        <v>3927.4019284401843</v>
      </c>
    </row>
    <row r="194" spans="1:19" ht="16.05" customHeight="1" x14ac:dyDescent="0.25">
      <c r="A194" s="61" t="s">
        <v>109</v>
      </c>
      <c r="B194" s="72">
        <v>191</v>
      </c>
      <c r="C194" s="12">
        <f t="shared" si="26"/>
        <v>1055170.6340367729</v>
      </c>
      <c r="D194" s="12">
        <f>IF(G193=0,0,IF(G193&lt;BondCalculator!$B$12,G193+E194,BondCalculator!$B$12))</f>
        <v>26660.740787821473</v>
      </c>
      <c r="E194" s="12">
        <f>C194*BondCalculator!$B$5/12</f>
        <v>10112.051909519074</v>
      </c>
      <c r="F194" s="12">
        <f t="shared" si="21"/>
        <v>16548.688878302397</v>
      </c>
      <c r="G194" s="12">
        <f t="shared" si="22"/>
        <v>1038621.9451584705</v>
      </c>
      <c r="H194" s="22">
        <f t="shared" si="23"/>
        <v>0.4154487780633882</v>
      </c>
      <c r="J194" s="51">
        <f t="shared" si="24"/>
        <v>0</v>
      </c>
      <c r="K194" s="51">
        <f>IF(N193=0,0,IF(N193&lt;BondCalculator!$B$12+BondCalculator!$B$7,N193+L194,BondCalculator!$B$12+BondCalculator!$B$7))</f>
        <v>0</v>
      </c>
      <c r="L194" s="51">
        <f>J194*BondCalculator!$B$5/12</f>
        <v>0</v>
      </c>
      <c r="M194" s="51">
        <f t="shared" si="25"/>
        <v>0</v>
      </c>
      <c r="N194" s="51">
        <f t="shared" si="18"/>
        <v>0</v>
      </c>
      <c r="P194" s="51">
        <f t="shared" si="19"/>
        <v>10112.051909519074</v>
      </c>
      <c r="Q194" s="63">
        <f>-PV(BondCalculator!$B$9/12,B194,0,1,0)</f>
        <v>0.38572892286040633</v>
      </c>
      <c r="S194" s="64">
        <f t="shared" si="20"/>
        <v>3900.5108909673072</v>
      </c>
    </row>
    <row r="195" spans="1:19" ht="16.05" customHeight="1" x14ac:dyDescent="0.25">
      <c r="A195" s="61" t="s">
        <v>109</v>
      </c>
      <c r="B195" s="72">
        <v>192</v>
      </c>
      <c r="C195" s="12">
        <f t="shared" si="26"/>
        <v>1038621.9451584705</v>
      </c>
      <c r="D195" s="12">
        <f>IF(G194=0,0,IF(G194&lt;BondCalculator!$B$12,G194+E195,BondCalculator!$B$12))</f>
        <v>26660.740787821473</v>
      </c>
      <c r="E195" s="12">
        <f>C195*BondCalculator!$B$5/12</f>
        <v>9953.460307768677</v>
      </c>
      <c r="F195" s="12">
        <f t="shared" si="21"/>
        <v>16707.280480052796</v>
      </c>
      <c r="G195" s="12">
        <f t="shared" si="22"/>
        <v>1021914.6646784177</v>
      </c>
      <c r="H195" s="22">
        <f t="shared" si="23"/>
        <v>0.4087658658713671</v>
      </c>
      <c r="J195" s="51">
        <f t="shared" si="24"/>
        <v>0</v>
      </c>
      <c r="K195" s="51">
        <f>IF(N194=0,0,IF(N194&lt;BondCalculator!$B$12+BondCalculator!$B$7,N194+L195,BondCalculator!$B$12+BondCalculator!$B$7))</f>
        <v>0</v>
      </c>
      <c r="L195" s="51">
        <f>J195*BondCalculator!$B$5/12</f>
        <v>0</v>
      </c>
      <c r="M195" s="51">
        <f t="shared" si="25"/>
        <v>0</v>
      </c>
      <c r="N195" s="51">
        <f t="shared" si="18"/>
        <v>0</v>
      </c>
      <c r="P195" s="51">
        <f t="shared" si="19"/>
        <v>9953.460307768677</v>
      </c>
      <c r="Q195" s="63">
        <f>-PV(BondCalculator!$B$9/12,B195,0,1,0)</f>
        <v>0.38380987349294166</v>
      </c>
      <c r="S195" s="64">
        <f t="shared" si="20"/>
        <v>3820.2363415417121</v>
      </c>
    </row>
    <row r="196" spans="1:19" ht="16.05" customHeight="1" x14ac:dyDescent="0.25">
      <c r="A196" s="61" t="s">
        <v>110</v>
      </c>
      <c r="B196" s="72">
        <v>193</v>
      </c>
      <c r="C196" s="12">
        <f t="shared" si="26"/>
        <v>1021914.6646784177</v>
      </c>
      <c r="D196" s="12">
        <f>IF(G195=0,0,IF(G195&lt;BondCalculator!$B$12,G195+E196,BondCalculator!$B$12))</f>
        <v>26660.740787821473</v>
      </c>
      <c r="E196" s="12">
        <f>C196*BondCalculator!$B$5/12</f>
        <v>9793.3488698348374</v>
      </c>
      <c r="F196" s="12">
        <f t="shared" si="21"/>
        <v>16867.391917986635</v>
      </c>
      <c r="G196" s="12">
        <f t="shared" si="22"/>
        <v>1005047.272760431</v>
      </c>
      <c r="H196" s="22">
        <f t="shared" si="23"/>
        <v>0.40201890910417243</v>
      </c>
      <c r="J196" s="51">
        <f t="shared" si="24"/>
        <v>0</v>
      </c>
      <c r="K196" s="51">
        <f>IF(N195=0,0,IF(N195&lt;BondCalculator!$B$12+BondCalculator!$B$7,N195+L196,BondCalculator!$B$12+BondCalculator!$B$7))</f>
        <v>0</v>
      </c>
      <c r="L196" s="51">
        <f>J196*BondCalculator!$B$5/12</f>
        <v>0</v>
      </c>
      <c r="M196" s="51">
        <f t="shared" si="25"/>
        <v>0</v>
      </c>
      <c r="N196" s="51">
        <f t="shared" ref="N196:N243" si="27">J196-M196</f>
        <v>0</v>
      </c>
      <c r="P196" s="51">
        <f t="shared" ref="P196:P243" si="28">E196-L196</f>
        <v>9793.3488698348374</v>
      </c>
      <c r="Q196" s="63">
        <f>-PV(BondCalculator!$B$9/12,B196,0,1,0)</f>
        <v>0.38190037163476781</v>
      </c>
      <c r="S196" s="64">
        <f t="shared" ref="S196:S259" si="29">P196*Q196</f>
        <v>3740.0835729388577</v>
      </c>
    </row>
    <row r="197" spans="1:19" ht="16.05" customHeight="1" x14ac:dyDescent="0.25">
      <c r="A197" s="61" t="s">
        <v>110</v>
      </c>
      <c r="B197" s="72">
        <v>194</v>
      </c>
      <c r="C197" s="12">
        <f t="shared" si="26"/>
        <v>1005047.272760431</v>
      </c>
      <c r="D197" s="12">
        <f>IF(G196=0,0,IF(G196&lt;BondCalculator!$B$12,G196+E197,BondCalculator!$B$12))</f>
        <v>26660.740787821473</v>
      </c>
      <c r="E197" s="12">
        <f>C197*BondCalculator!$B$5/12</f>
        <v>9631.703030620798</v>
      </c>
      <c r="F197" s="12">
        <f t="shared" ref="F197:F243" si="30">D197-E197</f>
        <v>17029.037757200676</v>
      </c>
      <c r="G197" s="12">
        <f t="shared" ref="G197:G260" si="31">IF(ROUND(C197-F197,2)=0,0,C197-F197)</f>
        <v>988018.23500323039</v>
      </c>
      <c r="H197" s="22">
        <f t="shared" ref="H197:H260" si="32">IF($C$4=0,0,G197/$C$4)</f>
        <v>0.39520729400129218</v>
      </c>
      <c r="J197" s="51">
        <f t="shared" ref="J197:J243" si="33">IF(ROUND(N196,0)&gt;0,N196,0)</f>
        <v>0</v>
      </c>
      <c r="K197" s="51">
        <f>IF(N196=0,0,IF(N196&lt;BondCalculator!$B$12+BondCalculator!$B$7,N196+L197,BondCalculator!$B$12+BondCalculator!$B$7))</f>
        <v>0</v>
      </c>
      <c r="L197" s="51">
        <f>J197*BondCalculator!$B$5/12</f>
        <v>0</v>
      </c>
      <c r="M197" s="51">
        <f t="shared" ref="M197:M243" si="34">IF(K197-L197&gt;N196,N196,K197-L197)</f>
        <v>0</v>
      </c>
      <c r="N197" s="51">
        <f t="shared" si="27"/>
        <v>0</v>
      </c>
      <c r="P197" s="51">
        <f t="shared" si="28"/>
        <v>9631.703030620798</v>
      </c>
      <c r="Q197" s="63">
        <f>-PV(BondCalculator!$B$9/12,B197,0,1,0)</f>
        <v>0.38000036978583873</v>
      </c>
      <c r="S197" s="64">
        <f t="shared" si="29"/>
        <v>3660.050713303287</v>
      </c>
    </row>
    <row r="198" spans="1:19" ht="16.05" customHeight="1" x14ac:dyDescent="0.25">
      <c r="A198" s="61" t="s">
        <v>110</v>
      </c>
      <c r="B198" s="72">
        <v>195</v>
      </c>
      <c r="C198" s="12">
        <f t="shared" ref="C198:C261" si="35">G197</f>
        <v>988018.23500323039</v>
      </c>
      <c r="D198" s="12">
        <f>IF(G197=0,0,IF(G197&lt;BondCalculator!$B$12,G197+E198,BondCalculator!$B$12))</f>
        <v>26660.740787821473</v>
      </c>
      <c r="E198" s="12">
        <f>C198*BondCalculator!$B$5/12</f>
        <v>9468.5080854476255</v>
      </c>
      <c r="F198" s="12">
        <f t="shared" si="30"/>
        <v>17192.232702373847</v>
      </c>
      <c r="G198" s="12">
        <f t="shared" si="31"/>
        <v>970826.00230085652</v>
      </c>
      <c r="H198" s="22">
        <f t="shared" si="32"/>
        <v>0.3883304009203426</v>
      </c>
      <c r="J198" s="51">
        <f t="shared" si="33"/>
        <v>0</v>
      </c>
      <c r="K198" s="51">
        <f>IF(N197=0,0,IF(N197&lt;BondCalculator!$B$12+BondCalculator!$B$7,N197+L198,BondCalculator!$B$12+BondCalculator!$B$7))</f>
        <v>0</v>
      </c>
      <c r="L198" s="51">
        <f>J198*BondCalculator!$B$5/12</f>
        <v>0</v>
      </c>
      <c r="M198" s="51">
        <f t="shared" si="34"/>
        <v>0</v>
      </c>
      <c r="N198" s="51">
        <f t="shared" si="27"/>
        <v>0</v>
      </c>
      <c r="P198" s="51">
        <f t="shared" si="28"/>
        <v>9468.5080854476255</v>
      </c>
      <c r="Q198" s="63">
        <f>-PV(BondCalculator!$B$9/12,B198,0,1,0)</f>
        <v>0.37810982068242655</v>
      </c>
      <c r="S198" s="64">
        <f t="shared" si="29"/>
        <v>3580.1358943187074</v>
      </c>
    </row>
    <row r="199" spans="1:19" ht="16.05" customHeight="1" x14ac:dyDescent="0.25">
      <c r="A199" s="61" t="s">
        <v>110</v>
      </c>
      <c r="B199" s="72">
        <v>196</v>
      </c>
      <c r="C199" s="12">
        <f t="shared" si="35"/>
        <v>970826.00230085652</v>
      </c>
      <c r="D199" s="12">
        <f>IF(G198=0,0,IF(G198&lt;BondCalculator!$B$12,G198+E199,BondCalculator!$B$12))</f>
        <v>26660.740787821473</v>
      </c>
      <c r="E199" s="12">
        <f>C199*BondCalculator!$B$5/12</f>
        <v>9303.7491887165415</v>
      </c>
      <c r="F199" s="12">
        <f t="shared" si="30"/>
        <v>17356.991599104931</v>
      </c>
      <c r="G199" s="12">
        <f t="shared" si="31"/>
        <v>953469.01070175157</v>
      </c>
      <c r="H199" s="22">
        <f t="shared" si="32"/>
        <v>0.38138760428070062</v>
      </c>
      <c r="J199" s="51">
        <f t="shared" si="33"/>
        <v>0</v>
      </c>
      <c r="K199" s="51">
        <f>IF(N198=0,0,IF(N198&lt;BondCalculator!$B$12+BondCalculator!$B$7,N198+L199,BondCalculator!$B$12+BondCalculator!$B$7))</f>
        <v>0</v>
      </c>
      <c r="L199" s="51">
        <f>J199*BondCalculator!$B$5/12</f>
        <v>0</v>
      </c>
      <c r="M199" s="51">
        <f t="shared" si="34"/>
        <v>0</v>
      </c>
      <c r="N199" s="51">
        <f t="shared" si="27"/>
        <v>0</v>
      </c>
      <c r="P199" s="51">
        <f t="shared" si="28"/>
        <v>9303.7491887165415</v>
      </c>
      <c r="Q199" s="63">
        <f>-PV(BondCalculator!$B$9/12,B199,0,1,0)</f>
        <v>0.37622867729594694</v>
      </c>
      <c r="S199" s="64">
        <f t="shared" si="29"/>
        <v>3500.3372511640637</v>
      </c>
    </row>
    <row r="200" spans="1:19" ht="16.05" customHeight="1" x14ac:dyDescent="0.25">
      <c r="A200" s="61" t="s">
        <v>110</v>
      </c>
      <c r="B200" s="72">
        <v>197</v>
      </c>
      <c r="C200" s="12">
        <f t="shared" si="35"/>
        <v>953469.01070175157</v>
      </c>
      <c r="D200" s="12">
        <f>IF(G199=0,0,IF(G199&lt;BondCalculator!$B$12,G199+E200,BondCalculator!$B$12))</f>
        <v>26660.740787821473</v>
      </c>
      <c r="E200" s="12">
        <f>C200*BondCalculator!$B$5/12</f>
        <v>9137.4113525584526</v>
      </c>
      <c r="F200" s="12">
        <f t="shared" si="30"/>
        <v>17523.329435263018</v>
      </c>
      <c r="G200" s="12">
        <f t="shared" si="31"/>
        <v>935945.68126648851</v>
      </c>
      <c r="H200" s="22">
        <f t="shared" si="32"/>
        <v>0.37437827250659539</v>
      </c>
      <c r="J200" s="51">
        <f t="shared" si="33"/>
        <v>0</v>
      </c>
      <c r="K200" s="51">
        <f>IF(N199=0,0,IF(N199&lt;BondCalculator!$B$12+BondCalculator!$B$7,N199+L200,BondCalculator!$B$12+BondCalculator!$B$7))</f>
        <v>0</v>
      </c>
      <c r="L200" s="51">
        <f>J200*BondCalculator!$B$5/12</f>
        <v>0</v>
      </c>
      <c r="M200" s="51">
        <f t="shared" si="34"/>
        <v>0</v>
      </c>
      <c r="N200" s="51">
        <f t="shared" si="27"/>
        <v>0</v>
      </c>
      <c r="P200" s="51">
        <f t="shared" si="28"/>
        <v>9137.4113525584526</v>
      </c>
      <c r="Q200" s="63">
        <f>-PV(BondCalculator!$B$9/12,B200,0,1,0)</f>
        <v>0.37435689283178814</v>
      </c>
      <c r="S200" s="64">
        <f t="shared" si="29"/>
        <v>3420.6529224696887</v>
      </c>
    </row>
    <row r="201" spans="1:19" ht="16.05" customHeight="1" x14ac:dyDescent="0.25">
      <c r="A201" s="61" t="s">
        <v>110</v>
      </c>
      <c r="B201" s="72">
        <v>198</v>
      </c>
      <c r="C201" s="12">
        <f t="shared" si="35"/>
        <v>935945.68126648851</v>
      </c>
      <c r="D201" s="12">
        <f>IF(G200=0,0,IF(G200&lt;BondCalculator!$B$12,G200+E201,BondCalculator!$B$12))</f>
        <v>26660.740787821473</v>
      </c>
      <c r="E201" s="12">
        <f>C201*BondCalculator!$B$5/12</f>
        <v>8969.4794454705152</v>
      </c>
      <c r="F201" s="12">
        <f t="shared" si="30"/>
        <v>17691.261342350957</v>
      </c>
      <c r="G201" s="12">
        <f t="shared" si="31"/>
        <v>918254.41992413753</v>
      </c>
      <c r="H201" s="22">
        <f t="shared" si="32"/>
        <v>0.36730176796965502</v>
      </c>
      <c r="J201" s="51">
        <f t="shared" si="33"/>
        <v>0</v>
      </c>
      <c r="K201" s="51">
        <f>IF(N200=0,0,IF(N200&lt;BondCalculator!$B$12+BondCalculator!$B$7,N200+L201,BondCalculator!$B$12+BondCalculator!$B$7))</f>
        <v>0</v>
      </c>
      <c r="L201" s="51">
        <f>J201*BondCalculator!$B$5/12</f>
        <v>0</v>
      </c>
      <c r="M201" s="51">
        <f t="shared" si="34"/>
        <v>0</v>
      </c>
      <c r="N201" s="51">
        <f t="shared" si="27"/>
        <v>0</v>
      </c>
      <c r="P201" s="51">
        <f t="shared" si="28"/>
        <v>8969.4794454705152</v>
      </c>
      <c r="Q201" s="63">
        <f>-PV(BondCalculator!$B$9/12,B201,0,1,0)</f>
        <v>0.37249442072814742</v>
      </c>
      <c r="S201" s="64">
        <f t="shared" si="29"/>
        <v>3341.0810502735644</v>
      </c>
    </row>
    <row r="202" spans="1:19" ht="16.05" customHeight="1" x14ac:dyDescent="0.25">
      <c r="A202" s="61" t="s">
        <v>110</v>
      </c>
      <c r="B202" s="72">
        <v>199</v>
      </c>
      <c r="C202" s="12">
        <f t="shared" si="35"/>
        <v>918254.41992413753</v>
      </c>
      <c r="D202" s="12">
        <f>IF(G201=0,0,IF(G201&lt;BondCalculator!$B$12,G201+E202,BondCalculator!$B$12))</f>
        <v>26660.740787821473</v>
      </c>
      <c r="E202" s="12">
        <f>C202*BondCalculator!$B$5/12</f>
        <v>8799.9381909396525</v>
      </c>
      <c r="F202" s="12">
        <f t="shared" si="30"/>
        <v>17860.802596881818</v>
      </c>
      <c r="G202" s="12">
        <f t="shared" si="31"/>
        <v>900393.61732725566</v>
      </c>
      <c r="H202" s="22">
        <f t="shared" si="32"/>
        <v>0.36015744693090229</v>
      </c>
      <c r="J202" s="51">
        <f t="shared" si="33"/>
        <v>0</v>
      </c>
      <c r="K202" s="51">
        <f>IF(N201=0,0,IF(N201&lt;BondCalculator!$B$12+BondCalculator!$B$7,N201+L202,BondCalculator!$B$12+BondCalculator!$B$7))</f>
        <v>0</v>
      </c>
      <c r="L202" s="51">
        <f>J202*BondCalculator!$B$5/12</f>
        <v>0</v>
      </c>
      <c r="M202" s="51">
        <f t="shared" si="34"/>
        <v>0</v>
      </c>
      <c r="N202" s="51">
        <f t="shared" si="27"/>
        <v>0</v>
      </c>
      <c r="P202" s="51">
        <f t="shared" si="28"/>
        <v>8799.9381909396525</v>
      </c>
      <c r="Q202" s="63">
        <f>-PV(BondCalculator!$B$9/12,B202,0,1,0)</f>
        <v>0.3706412146548731</v>
      </c>
      <c r="S202" s="64">
        <f t="shared" si="29"/>
        <v>3261.6197799776792</v>
      </c>
    </row>
    <row r="203" spans="1:19" ht="16.05" customHeight="1" x14ac:dyDescent="0.25">
      <c r="A203" s="61" t="s">
        <v>110</v>
      </c>
      <c r="B203" s="72">
        <v>200</v>
      </c>
      <c r="C203" s="12">
        <f t="shared" si="35"/>
        <v>900393.61732725566</v>
      </c>
      <c r="D203" s="12">
        <f>IF(G202=0,0,IF(G202&lt;BondCalculator!$B$12,G202+E203,BondCalculator!$B$12))</f>
        <v>26660.740787821473</v>
      </c>
      <c r="E203" s="12">
        <f>C203*BondCalculator!$B$5/12</f>
        <v>8628.7721660528678</v>
      </c>
      <c r="F203" s="12">
        <f t="shared" si="30"/>
        <v>18031.968621768603</v>
      </c>
      <c r="G203" s="12">
        <f t="shared" si="31"/>
        <v>882361.64870548702</v>
      </c>
      <c r="H203" s="22">
        <f t="shared" si="32"/>
        <v>0.35294465948219483</v>
      </c>
      <c r="J203" s="51">
        <f t="shared" si="33"/>
        <v>0</v>
      </c>
      <c r="K203" s="51">
        <f>IF(N202=0,0,IF(N202&lt;BondCalculator!$B$12+BondCalculator!$B$7,N202+L203,BondCalculator!$B$12+BondCalculator!$B$7))</f>
        <v>0</v>
      </c>
      <c r="L203" s="51">
        <f>J203*BondCalculator!$B$5/12</f>
        <v>0</v>
      </c>
      <c r="M203" s="51">
        <f t="shared" si="34"/>
        <v>0</v>
      </c>
      <c r="N203" s="51">
        <f t="shared" si="27"/>
        <v>0</v>
      </c>
      <c r="P203" s="51">
        <f t="shared" si="28"/>
        <v>8628.7721660528678</v>
      </c>
      <c r="Q203" s="63">
        <f>-PV(BondCalculator!$B$9/12,B203,0,1,0)</f>
        <v>0.36879722851231156</v>
      </c>
      <c r="S203" s="64">
        <f t="shared" si="29"/>
        <v>3182.267260304473</v>
      </c>
    </row>
    <row r="204" spans="1:19" ht="16.05" customHeight="1" x14ac:dyDescent="0.25">
      <c r="A204" s="61" t="s">
        <v>110</v>
      </c>
      <c r="B204" s="72">
        <v>201</v>
      </c>
      <c r="C204" s="12">
        <f t="shared" si="35"/>
        <v>882361.64870548702</v>
      </c>
      <c r="D204" s="12">
        <f>IF(G203=0,0,IF(G203&lt;BondCalculator!$B$12,G203+E204,BondCalculator!$B$12))</f>
        <v>26660.740787821473</v>
      </c>
      <c r="E204" s="12">
        <f>C204*BondCalculator!$B$5/12</f>
        <v>8455.9658000942509</v>
      </c>
      <c r="F204" s="12">
        <f t="shared" si="30"/>
        <v>18204.774987727222</v>
      </c>
      <c r="G204" s="12">
        <f t="shared" si="31"/>
        <v>864156.87371775985</v>
      </c>
      <c r="H204" s="22">
        <f t="shared" si="32"/>
        <v>0.34566274948710396</v>
      </c>
      <c r="J204" s="51">
        <f t="shared" si="33"/>
        <v>0</v>
      </c>
      <c r="K204" s="51">
        <f>IF(N203=0,0,IF(N203&lt;BondCalculator!$B$12+BondCalculator!$B$7,N203+L204,BondCalculator!$B$12+BondCalculator!$B$7))</f>
        <v>0</v>
      </c>
      <c r="L204" s="51">
        <f>J204*BondCalculator!$B$5/12</f>
        <v>0</v>
      </c>
      <c r="M204" s="51">
        <f t="shared" si="34"/>
        <v>0</v>
      </c>
      <c r="N204" s="51">
        <f t="shared" si="27"/>
        <v>0</v>
      </c>
      <c r="P204" s="51">
        <f t="shared" si="28"/>
        <v>8455.9658000942509</v>
      </c>
      <c r="Q204" s="63">
        <f>-PV(BondCalculator!$B$9/12,B204,0,1,0)</f>
        <v>0.36696241643016075</v>
      </c>
      <c r="S204" s="64">
        <f t="shared" si="29"/>
        <v>3103.0216432533839</v>
      </c>
    </row>
    <row r="205" spans="1:19" ht="16.05" customHeight="1" x14ac:dyDescent="0.25">
      <c r="A205" s="61" t="s">
        <v>110</v>
      </c>
      <c r="B205" s="72">
        <v>202</v>
      </c>
      <c r="C205" s="12">
        <f t="shared" si="35"/>
        <v>864156.87371775985</v>
      </c>
      <c r="D205" s="12">
        <f>IF(G204=0,0,IF(G204&lt;BondCalculator!$B$12,G204+E205,BondCalculator!$B$12))</f>
        <v>26660.740787821473</v>
      </c>
      <c r="E205" s="12">
        <f>C205*BondCalculator!$B$5/12</f>
        <v>8281.5033731285312</v>
      </c>
      <c r="F205" s="12">
        <f t="shared" si="30"/>
        <v>18379.237414692943</v>
      </c>
      <c r="G205" s="12">
        <f t="shared" si="31"/>
        <v>845777.63630306686</v>
      </c>
      <c r="H205" s="22">
        <f t="shared" si="32"/>
        <v>0.33831105452122673</v>
      </c>
      <c r="J205" s="51">
        <f t="shared" si="33"/>
        <v>0</v>
      </c>
      <c r="K205" s="51">
        <f>IF(N204=0,0,IF(N204&lt;BondCalculator!$B$12+BondCalculator!$B$7,N204+L205,BondCalculator!$B$12+BondCalculator!$B$7))</f>
        <v>0</v>
      </c>
      <c r="L205" s="51">
        <f>J205*BondCalculator!$B$5/12</f>
        <v>0</v>
      </c>
      <c r="M205" s="51">
        <f t="shared" si="34"/>
        <v>0</v>
      </c>
      <c r="N205" s="51">
        <f t="shared" si="27"/>
        <v>0</v>
      </c>
      <c r="P205" s="51">
        <f t="shared" si="28"/>
        <v>8281.5033731285312</v>
      </c>
      <c r="Q205" s="63">
        <f>-PV(BondCalculator!$B$9/12,B205,0,1,0)</f>
        <v>0.36513673276632924</v>
      </c>
      <c r="S205" s="64">
        <f t="shared" si="29"/>
        <v>3023.8810840574865</v>
      </c>
    </row>
    <row r="206" spans="1:19" ht="16.05" customHeight="1" x14ac:dyDescent="0.25">
      <c r="A206" s="61" t="s">
        <v>110</v>
      </c>
      <c r="B206" s="72">
        <v>203</v>
      </c>
      <c r="C206" s="12">
        <f t="shared" si="35"/>
        <v>845777.63630306686</v>
      </c>
      <c r="D206" s="12">
        <f>IF(G205=0,0,IF(G205&lt;BondCalculator!$B$12,G205+E206,BondCalculator!$B$12))</f>
        <v>26660.740787821473</v>
      </c>
      <c r="E206" s="12">
        <f>C206*BondCalculator!$B$5/12</f>
        <v>8105.369014571058</v>
      </c>
      <c r="F206" s="12">
        <f t="shared" si="30"/>
        <v>18555.371773250416</v>
      </c>
      <c r="G206" s="12">
        <f t="shared" si="31"/>
        <v>827222.26452981646</v>
      </c>
      <c r="H206" s="22">
        <f t="shared" si="32"/>
        <v>0.33088890581192659</v>
      </c>
      <c r="J206" s="51">
        <f t="shared" si="33"/>
        <v>0</v>
      </c>
      <c r="K206" s="51">
        <f>IF(N205=0,0,IF(N205&lt;BondCalculator!$B$12+BondCalculator!$B$7,N205+L206,BondCalculator!$B$12+BondCalculator!$B$7))</f>
        <v>0</v>
      </c>
      <c r="L206" s="51">
        <f>J206*BondCalculator!$B$5/12</f>
        <v>0</v>
      </c>
      <c r="M206" s="51">
        <f t="shared" si="34"/>
        <v>0</v>
      </c>
      <c r="N206" s="51">
        <f t="shared" si="27"/>
        <v>0</v>
      </c>
      <c r="P206" s="51">
        <f t="shared" si="28"/>
        <v>8105.369014571058</v>
      </c>
      <c r="Q206" s="63">
        <f>-PV(BondCalculator!$B$9/12,B206,0,1,0)</f>
        <v>0.36332013210580028</v>
      </c>
      <c r="S206" s="64">
        <f t="shared" si="29"/>
        <v>2944.8437411402169</v>
      </c>
    </row>
    <row r="207" spans="1:19" ht="16.05" customHeight="1" x14ac:dyDescent="0.25">
      <c r="A207" s="61" t="s">
        <v>110</v>
      </c>
      <c r="B207" s="72">
        <v>204</v>
      </c>
      <c r="C207" s="12">
        <f t="shared" si="35"/>
        <v>827222.26452981646</v>
      </c>
      <c r="D207" s="12">
        <f>IF(G206=0,0,IF(G206&lt;BondCalculator!$B$12,G206+E207,BondCalculator!$B$12))</f>
        <v>26660.740787821473</v>
      </c>
      <c r="E207" s="12">
        <f>C207*BondCalculator!$B$5/12</f>
        <v>7927.5467017440751</v>
      </c>
      <c r="F207" s="12">
        <f t="shared" si="30"/>
        <v>18733.194086077398</v>
      </c>
      <c r="G207" s="12">
        <f t="shared" si="31"/>
        <v>808489.07044373907</v>
      </c>
      <c r="H207" s="22">
        <f t="shared" si="32"/>
        <v>0.32339562817749562</v>
      </c>
      <c r="J207" s="51">
        <f t="shared" si="33"/>
        <v>0</v>
      </c>
      <c r="K207" s="51">
        <f>IF(N206=0,0,IF(N206&lt;BondCalculator!$B$12+BondCalculator!$B$7,N206+L207,BondCalculator!$B$12+BondCalculator!$B$7))</f>
        <v>0</v>
      </c>
      <c r="L207" s="51">
        <f>J207*BondCalculator!$B$5/12</f>
        <v>0</v>
      </c>
      <c r="M207" s="51">
        <f t="shared" si="34"/>
        <v>0</v>
      </c>
      <c r="N207" s="51">
        <f t="shared" si="27"/>
        <v>0</v>
      </c>
      <c r="P207" s="51">
        <f t="shared" si="28"/>
        <v>7927.5467017440751</v>
      </c>
      <c r="Q207" s="63">
        <f>-PV(BondCalculator!$B$9/12,B207,0,1,0)</f>
        <v>0.36151256925950287</v>
      </c>
      <c r="S207" s="64">
        <f t="shared" si="29"/>
        <v>2865.9077760721984</v>
      </c>
    </row>
    <row r="208" spans="1:19" ht="16.05" customHeight="1" x14ac:dyDescent="0.25">
      <c r="A208" s="61" t="s">
        <v>111</v>
      </c>
      <c r="B208" s="72">
        <v>205</v>
      </c>
      <c r="C208" s="12">
        <f t="shared" si="35"/>
        <v>808489.07044373907</v>
      </c>
      <c r="D208" s="12">
        <f>IF(G207=0,0,IF(G207&lt;BondCalculator!$B$12,G207+E208,BondCalculator!$B$12))</f>
        <v>26660.740787821473</v>
      </c>
      <c r="E208" s="12">
        <f>C208*BondCalculator!$B$5/12</f>
        <v>7748.0202584191657</v>
      </c>
      <c r="F208" s="12">
        <f t="shared" si="30"/>
        <v>18912.720529402308</v>
      </c>
      <c r="G208" s="12">
        <f t="shared" si="31"/>
        <v>789576.34991433681</v>
      </c>
      <c r="H208" s="22">
        <f t="shared" si="32"/>
        <v>0.31583053996573474</v>
      </c>
      <c r="J208" s="51">
        <f t="shared" si="33"/>
        <v>0</v>
      </c>
      <c r="K208" s="51">
        <f>IF(N207=0,0,IF(N207&lt;BondCalculator!$B$12+BondCalculator!$B$7,N207+L208,BondCalculator!$B$12+BondCalculator!$B$7))</f>
        <v>0</v>
      </c>
      <c r="L208" s="51">
        <f>J208*BondCalculator!$B$5/12</f>
        <v>0</v>
      </c>
      <c r="M208" s="51">
        <f t="shared" si="34"/>
        <v>0</v>
      </c>
      <c r="N208" s="51">
        <f t="shared" si="27"/>
        <v>0</v>
      </c>
      <c r="P208" s="51">
        <f t="shared" si="28"/>
        <v>7748.0202584191657</v>
      </c>
      <c r="Q208" s="63">
        <f>-PV(BondCalculator!$B$9/12,B208,0,1,0)</f>
        <v>0.35971399926318692</v>
      </c>
      <c r="S208" s="64">
        <f t="shared" si="29"/>
        <v>2787.0713535281493</v>
      </c>
    </row>
    <row r="209" spans="1:19" ht="16.05" customHeight="1" x14ac:dyDescent="0.25">
      <c r="A209" s="61" t="s">
        <v>111</v>
      </c>
      <c r="B209" s="72">
        <v>206</v>
      </c>
      <c r="C209" s="12">
        <f t="shared" si="35"/>
        <v>789576.34991433681</v>
      </c>
      <c r="D209" s="12">
        <f>IF(G208=0,0,IF(G208&lt;BondCalculator!$B$12,G208+E209,BondCalculator!$B$12))</f>
        <v>26660.740787821473</v>
      </c>
      <c r="E209" s="12">
        <f>C209*BondCalculator!$B$5/12</f>
        <v>7566.7733533457285</v>
      </c>
      <c r="F209" s="12">
        <f t="shared" si="30"/>
        <v>19093.967434475744</v>
      </c>
      <c r="G209" s="12">
        <f t="shared" si="31"/>
        <v>770482.38247986103</v>
      </c>
      <c r="H209" s="22">
        <f t="shared" si="32"/>
        <v>0.30819295299194444</v>
      </c>
      <c r="J209" s="51">
        <f t="shared" si="33"/>
        <v>0</v>
      </c>
      <c r="K209" s="51">
        <f>IF(N208=0,0,IF(N208&lt;BondCalculator!$B$12+BondCalculator!$B$7,N208+L209,BondCalculator!$B$12+BondCalculator!$B$7))</f>
        <v>0</v>
      </c>
      <c r="L209" s="51">
        <f>J209*BondCalculator!$B$5/12</f>
        <v>0</v>
      </c>
      <c r="M209" s="51">
        <f t="shared" si="34"/>
        <v>0</v>
      </c>
      <c r="N209" s="51">
        <f t="shared" si="27"/>
        <v>0</v>
      </c>
      <c r="P209" s="51">
        <f t="shared" si="28"/>
        <v>7566.7733533457285</v>
      </c>
      <c r="Q209" s="63">
        <f>-PV(BondCalculator!$B$9/12,B209,0,1,0)</f>
        <v>0.3579243773763055</v>
      </c>
      <c r="S209" s="64">
        <f t="shared" si="29"/>
        <v>2708.3326412438892</v>
      </c>
    </row>
    <row r="210" spans="1:19" ht="16.05" customHeight="1" x14ac:dyDescent="0.25">
      <c r="A210" s="61" t="s">
        <v>111</v>
      </c>
      <c r="B210" s="72">
        <v>207</v>
      </c>
      <c r="C210" s="12">
        <f t="shared" si="35"/>
        <v>770482.38247986103</v>
      </c>
      <c r="D210" s="12">
        <f>IF(G209=0,0,IF(G209&lt;BondCalculator!$B$12,G209+E210,BondCalculator!$B$12))</f>
        <v>26660.740787821473</v>
      </c>
      <c r="E210" s="12">
        <f>C210*BondCalculator!$B$5/12</f>
        <v>7383.7894987653353</v>
      </c>
      <c r="F210" s="12">
        <f t="shared" si="30"/>
        <v>19276.951289056138</v>
      </c>
      <c r="G210" s="12">
        <f t="shared" si="31"/>
        <v>751205.43119080493</v>
      </c>
      <c r="H210" s="22">
        <f t="shared" si="32"/>
        <v>0.30048217247632197</v>
      </c>
      <c r="J210" s="51">
        <f t="shared" si="33"/>
        <v>0</v>
      </c>
      <c r="K210" s="51">
        <f>IF(N209=0,0,IF(N209&lt;BondCalculator!$B$12+BondCalculator!$B$7,N209+L210,BondCalculator!$B$12+BondCalculator!$B$7))</f>
        <v>0</v>
      </c>
      <c r="L210" s="51">
        <f>J210*BondCalculator!$B$5/12</f>
        <v>0</v>
      </c>
      <c r="M210" s="51">
        <f t="shared" si="34"/>
        <v>0</v>
      </c>
      <c r="N210" s="51">
        <f t="shared" si="27"/>
        <v>0</v>
      </c>
      <c r="P210" s="51">
        <f t="shared" si="28"/>
        <v>7383.7894987653353</v>
      </c>
      <c r="Q210" s="63">
        <f>-PV(BondCalculator!$B$9/12,B210,0,1,0)</f>
        <v>0.35614365908090112</v>
      </c>
      <c r="S210" s="64">
        <f t="shared" si="29"/>
        <v>2629.6898099734194</v>
      </c>
    </row>
    <row r="211" spans="1:19" ht="16.05" customHeight="1" x14ac:dyDescent="0.25">
      <c r="A211" s="61" t="s">
        <v>111</v>
      </c>
      <c r="B211" s="72">
        <v>208</v>
      </c>
      <c r="C211" s="12">
        <f t="shared" si="35"/>
        <v>751205.43119080493</v>
      </c>
      <c r="D211" s="12">
        <f>IF(G210=0,0,IF(G210&lt;BondCalculator!$B$12,G210+E211,BondCalculator!$B$12))</f>
        <v>26660.740787821473</v>
      </c>
      <c r="E211" s="12">
        <f>C211*BondCalculator!$B$5/12</f>
        <v>7199.0520489118817</v>
      </c>
      <c r="F211" s="12">
        <f t="shared" si="30"/>
        <v>19461.68873890959</v>
      </c>
      <c r="G211" s="12">
        <f t="shared" si="31"/>
        <v>731743.74245189538</v>
      </c>
      <c r="H211" s="22">
        <f t="shared" si="32"/>
        <v>0.29269749698075814</v>
      </c>
      <c r="J211" s="51">
        <f t="shared" si="33"/>
        <v>0</v>
      </c>
      <c r="K211" s="51">
        <f>IF(N210=0,0,IF(N210&lt;BondCalculator!$B$12+BondCalculator!$B$7,N210+L211,BondCalculator!$B$12+BondCalculator!$B$7))</f>
        <v>0</v>
      </c>
      <c r="L211" s="51">
        <f>J211*BondCalculator!$B$5/12</f>
        <v>0</v>
      </c>
      <c r="M211" s="51">
        <f t="shared" si="34"/>
        <v>0</v>
      </c>
      <c r="N211" s="51">
        <f t="shared" si="27"/>
        <v>0</v>
      </c>
      <c r="P211" s="51">
        <f t="shared" si="28"/>
        <v>7199.0520489118817</v>
      </c>
      <c r="Q211" s="63">
        <f>-PV(BondCalculator!$B$9/12,B211,0,1,0)</f>
        <v>0.35437180008049862</v>
      </c>
      <c r="S211" s="64">
        <f t="shared" si="29"/>
        <v>2551.1410334461052</v>
      </c>
    </row>
    <row r="212" spans="1:19" ht="16.05" customHeight="1" x14ac:dyDescent="0.25">
      <c r="A212" s="61" t="s">
        <v>111</v>
      </c>
      <c r="B212" s="72">
        <v>209</v>
      </c>
      <c r="C212" s="12">
        <f t="shared" si="35"/>
        <v>731743.74245189538</v>
      </c>
      <c r="D212" s="12">
        <f>IF(G211=0,0,IF(G211&lt;BondCalculator!$B$12,G211+E212,BondCalculator!$B$12))</f>
        <v>26660.740787821473</v>
      </c>
      <c r="E212" s="12">
        <f>C212*BondCalculator!$B$5/12</f>
        <v>7012.5441984973304</v>
      </c>
      <c r="F212" s="12">
        <f t="shared" si="30"/>
        <v>19648.196589324143</v>
      </c>
      <c r="G212" s="12">
        <f t="shared" si="31"/>
        <v>712095.54586257122</v>
      </c>
      <c r="H212" s="22">
        <f t="shared" si="32"/>
        <v>0.28483821834502848</v>
      </c>
      <c r="J212" s="51">
        <f t="shared" si="33"/>
        <v>0</v>
      </c>
      <c r="K212" s="51">
        <f>IF(N211=0,0,IF(N211&lt;BondCalculator!$B$12+BondCalculator!$B$7,N211+L212,BondCalculator!$B$12+BondCalculator!$B$7))</f>
        <v>0</v>
      </c>
      <c r="L212" s="51">
        <f>J212*BondCalculator!$B$5/12</f>
        <v>0</v>
      </c>
      <c r="M212" s="51">
        <f t="shared" si="34"/>
        <v>0</v>
      </c>
      <c r="N212" s="51">
        <f t="shared" si="27"/>
        <v>0</v>
      </c>
      <c r="P212" s="51">
        <f t="shared" si="28"/>
        <v>7012.5441984973304</v>
      </c>
      <c r="Q212" s="63">
        <f>-PV(BondCalculator!$B$9/12,B212,0,1,0)</f>
        <v>0.35260875629900362</v>
      </c>
      <c r="S212" s="64">
        <f t="shared" si="29"/>
        <v>2472.6844883239369</v>
      </c>
    </row>
    <row r="213" spans="1:19" ht="16.05" customHeight="1" x14ac:dyDescent="0.25">
      <c r="A213" s="61" t="s">
        <v>111</v>
      </c>
      <c r="B213" s="72">
        <v>210</v>
      </c>
      <c r="C213" s="12">
        <f t="shared" si="35"/>
        <v>712095.54586257122</v>
      </c>
      <c r="D213" s="12">
        <f>IF(G212=0,0,IF(G212&lt;BondCalculator!$B$12,G212+E213,BondCalculator!$B$12))</f>
        <v>26660.740787821473</v>
      </c>
      <c r="E213" s="12">
        <f>C213*BondCalculator!$B$5/12</f>
        <v>6824.2489811829737</v>
      </c>
      <c r="F213" s="12">
        <f t="shared" si="30"/>
        <v>19836.4918066385</v>
      </c>
      <c r="G213" s="12">
        <f t="shared" si="31"/>
        <v>692259.05405593268</v>
      </c>
      <c r="H213" s="22">
        <f t="shared" si="32"/>
        <v>0.27690362162237309</v>
      </c>
      <c r="J213" s="51">
        <f t="shared" si="33"/>
        <v>0</v>
      </c>
      <c r="K213" s="51">
        <f>IF(N212=0,0,IF(N212&lt;BondCalculator!$B$12+BondCalculator!$B$7,N212+L213,BondCalculator!$B$12+BondCalculator!$B$7))</f>
        <v>0</v>
      </c>
      <c r="L213" s="51">
        <f>J213*BondCalculator!$B$5/12</f>
        <v>0</v>
      </c>
      <c r="M213" s="51">
        <f t="shared" si="34"/>
        <v>0</v>
      </c>
      <c r="N213" s="51">
        <f t="shared" si="27"/>
        <v>0</v>
      </c>
      <c r="P213" s="51">
        <f t="shared" si="28"/>
        <v>6824.2489811829737</v>
      </c>
      <c r="Q213" s="63">
        <f>-PV(BondCalculator!$B$9/12,B213,0,1,0)</f>
        <v>0.35085448387960572</v>
      </c>
      <c r="S213" s="64">
        <f t="shared" si="29"/>
        <v>2394.3183541588774</v>
      </c>
    </row>
    <row r="214" spans="1:19" ht="16.05" customHeight="1" x14ac:dyDescent="0.25">
      <c r="A214" s="61" t="s">
        <v>111</v>
      </c>
      <c r="B214" s="72">
        <v>211</v>
      </c>
      <c r="C214" s="12">
        <f t="shared" si="35"/>
        <v>692259.05405593268</v>
      </c>
      <c r="D214" s="12">
        <f>IF(G213=0,0,IF(G213&lt;BondCalculator!$B$12,G213+E214,BondCalculator!$B$12))</f>
        <v>26660.740787821473</v>
      </c>
      <c r="E214" s="12">
        <f>C214*BondCalculator!$B$5/12</f>
        <v>6634.1492680360216</v>
      </c>
      <c r="F214" s="12">
        <f t="shared" si="30"/>
        <v>20026.591519785452</v>
      </c>
      <c r="G214" s="12">
        <f t="shared" si="31"/>
        <v>672232.46253614721</v>
      </c>
      <c r="H214" s="22">
        <f t="shared" si="32"/>
        <v>0.26889298501445891</v>
      </c>
      <c r="J214" s="51">
        <f t="shared" si="33"/>
        <v>0</v>
      </c>
      <c r="K214" s="51">
        <f>IF(N213=0,0,IF(N213&lt;BondCalculator!$B$12+BondCalculator!$B$7,N213+L214,BondCalculator!$B$12+BondCalculator!$B$7))</f>
        <v>0</v>
      </c>
      <c r="L214" s="51">
        <f>J214*BondCalculator!$B$5/12</f>
        <v>0</v>
      </c>
      <c r="M214" s="51">
        <f t="shared" si="34"/>
        <v>0</v>
      </c>
      <c r="N214" s="51">
        <f t="shared" si="27"/>
        <v>0</v>
      </c>
      <c r="P214" s="51">
        <f t="shared" si="28"/>
        <v>6634.1492680360216</v>
      </c>
      <c r="Q214" s="63">
        <f>-PV(BondCalculator!$B$9/12,B214,0,1,0)</f>
        <v>0.34910893918368724</v>
      </c>
      <c r="S214" s="64">
        <f t="shared" si="29"/>
        <v>2316.0408133502906</v>
      </c>
    </row>
    <row r="215" spans="1:19" ht="16.05" customHeight="1" x14ac:dyDescent="0.25">
      <c r="A215" s="61" t="s">
        <v>111</v>
      </c>
      <c r="B215" s="72">
        <v>212</v>
      </c>
      <c r="C215" s="12">
        <f t="shared" si="35"/>
        <v>672232.46253614721</v>
      </c>
      <c r="D215" s="12">
        <f>IF(G214=0,0,IF(G214&lt;BondCalculator!$B$12,G214+E215,BondCalculator!$B$12))</f>
        <v>26660.740787821473</v>
      </c>
      <c r="E215" s="12">
        <f>C215*BondCalculator!$B$5/12</f>
        <v>6442.2277659714118</v>
      </c>
      <c r="F215" s="12">
        <f t="shared" si="30"/>
        <v>20218.51302185006</v>
      </c>
      <c r="G215" s="12">
        <f t="shared" si="31"/>
        <v>652013.94951429719</v>
      </c>
      <c r="H215" s="22">
        <f t="shared" si="32"/>
        <v>0.26080557980571889</v>
      </c>
      <c r="J215" s="51">
        <f t="shared" si="33"/>
        <v>0</v>
      </c>
      <c r="K215" s="51">
        <f>IF(N214=0,0,IF(N214&lt;BondCalculator!$B$12+BondCalculator!$B$7,N214+L215,BondCalculator!$B$12+BondCalculator!$B$7))</f>
        <v>0</v>
      </c>
      <c r="L215" s="51">
        <f>J215*BondCalculator!$B$5/12</f>
        <v>0</v>
      </c>
      <c r="M215" s="51">
        <f t="shared" si="34"/>
        <v>0</v>
      </c>
      <c r="N215" s="51">
        <f t="shared" si="27"/>
        <v>0</v>
      </c>
      <c r="P215" s="51">
        <f t="shared" si="28"/>
        <v>6442.2277659714118</v>
      </c>
      <c r="Q215" s="63">
        <f>-PV(BondCalculator!$B$9/12,B215,0,1,0)</f>
        <v>0.34737207878973864</v>
      </c>
      <c r="S215" s="64">
        <f t="shared" si="29"/>
        <v>2237.8500511024631</v>
      </c>
    </row>
    <row r="216" spans="1:19" ht="16.05" customHeight="1" x14ac:dyDescent="0.25">
      <c r="A216" s="61" t="s">
        <v>111</v>
      </c>
      <c r="B216" s="72">
        <v>213</v>
      </c>
      <c r="C216" s="12">
        <f t="shared" si="35"/>
        <v>652013.94951429719</v>
      </c>
      <c r="D216" s="12">
        <f>IF(G215=0,0,IF(G215&lt;BondCalculator!$B$12,G215+E216,BondCalculator!$B$12))</f>
        <v>26660.740787821473</v>
      </c>
      <c r="E216" s="12">
        <f>C216*BondCalculator!$B$5/12</f>
        <v>6248.4670161786817</v>
      </c>
      <c r="F216" s="12">
        <f t="shared" si="30"/>
        <v>20412.273771642791</v>
      </c>
      <c r="G216" s="12">
        <f t="shared" si="31"/>
        <v>631601.67574265436</v>
      </c>
      <c r="H216" s="22">
        <f t="shared" si="32"/>
        <v>0.25264067029706172</v>
      </c>
      <c r="J216" s="51">
        <f t="shared" si="33"/>
        <v>0</v>
      </c>
      <c r="K216" s="51">
        <f>IF(N215=0,0,IF(N215&lt;BondCalculator!$B$12+BondCalculator!$B$7,N215+L216,BondCalculator!$B$12+BondCalculator!$B$7))</f>
        <v>0</v>
      </c>
      <c r="L216" s="51">
        <f>J216*BondCalculator!$B$5/12</f>
        <v>0</v>
      </c>
      <c r="M216" s="51">
        <f t="shared" si="34"/>
        <v>0</v>
      </c>
      <c r="N216" s="51">
        <f t="shared" si="27"/>
        <v>0</v>
      </c>
      <c r="P216" s="51">
        <f t="shared" si="28"/>
        <v>6248.4670161786817</v>
      </c>
      <c r="Q216" s="63">
        <f>-PV(BondCalculator!$B$9/12,B216,0,1,0)</f>
        <v>0.34564385949227733</v>
      </c>
      <c r="S216" s="64">
        <f t="shared" si="29"/>
        <v>2159.7442553821934</v>
      </c>
    </row>
    <row r="217" spans="1:19" ht="16.05" customHeight="1" x14ac:dyDescent="0.25">
      <c r="A217" s="61" t="s">
        <v>111</v>
      </c>
      <c r="B217" s="72">
        <v>214</v>
      </c>
      <c r="C217" s="12">
        <f t="shared" si="35"/>
        <v>631601.67574265436</v>
      </c>
      <c r="D217" s="12">
        <f>IF(G216=0,0,IF(G216&lt;BondCalculator!$B$12,G216+E217,BondCalculator!$B$12))</f>
        <v>26660.740787821473</v>
      </c>
      <c r="E217" s="12">
        <f>C217*BondCalculator!$B$5/12</f>
        <v>6052.8493925337716</v>
      </c>
      <c r="F217" s="12">
        <f t="shared" si="30"/>
        <v>20607.891395287701</v>
      </c>
      <c r="G217" s="12">
        <f t="shared" si="31"/>
        <v>610993.78434736666</v>
      </c>
      <c r="H217" s="22">
        <f t="shared" si="32"/>
        <v>0.24439751373894666</v>
      </c>
      <c r="J217" s="51">
        <f t="shared" si="33"/>
        <v>0</v>
      </c>
      <c r="K217" s="51">
        <f>IF(N216=0,0,IF(N216&lt;BondCalculator!$B$12+BondCalculator!$B$7,N216+L217,BondCalculator!$B$12+BondCalculator!$B$7))</f>
        <v>0</v>
      </c>
      <c r="L217" s="51">
        <f>J217*BondCalculator!$B$5/12</f>
        <v>0</v>
      </c>
      <c r="M217" s="51">
        <f t="shared" si="34"/>
        <v>0</v>
      </c>
      <c r="N217" s="51">
        <f t="shared" si="27"/>
        <v>0</v>
      </c>
      <c r="P217" s="51">
        <f t="shared" si="28"/>
        <v>6052.8493925337716</v>
      </c>
      <c r="Q217" s="63">
        <f>-PV(BondCalculator!$B$9/12,B217,0,1,0)</f>
        <v>0.34392423830077357</v>
      </c>
      <c r="S217" s="64">
        <f t="shared" si="29"/>
        <v>2081.7216168764776</v>
      </c>
    </row>
    <row r="218" spans="1:19" ht="16.05" customHeight="1" x14ac:dyDescent="0.25">
      <c r="A218" s="61" t="s">
        <v>111</v>
      </c>
      <c r="B218" s="72">
        <v>215</v>
      </c>
      <c r="C218" s="12">
        <f t="shared" si="35"/>
        <v>610993.78434736666</v>
      </c>
      <c r="D218" s="12">
        <f>IF(G217=0,0,IF(G217&lt;BondCalculator!$B$12,G217+E218,BondCalculator!$B$12))</f>
        <v>26660.740787821473</v>
      </c>
      <c r="E218" s="12">
        <f>C218*BondCalculator!$B$5/12</f>
        <v>5855.3570999955982</v>
      </c>
      <c r="F218" s="12">
        <f t="shared" si="30"/>
        <v>20805.383687825873</v>
      </c>
      <c r="G218" s="12">
        <f t="shared" si="31"/>
        <v>590188.40065954078</v>
      </c>
      <c r="H218" s="22">
        <f t="shared" si="32"/>
        <v>0.23607536026381631</v>
      </c>
      <c r="J218" s="51">
        <f t="shared" si="33"/>
        <v>0</v>
      </c>
      <c r="K218" s="51">
        <f>IF(N217=0,0,IF(N217&lt;BondCalculator!$B$12+BondCalculator!$B$7,N217+L218,BondCalculator!$B$12+BondCalculator!$B$7))</f>
        <v>0</v>
      </c>
      <c r="L218" s="51">
        <f>J218*BondCalculator!$B$5/12</f>
        <v>0</v>
      </c>
      <c r="M218" s="51">
        <f t="shared" si="34"/>
        <v>0</v>
      </c>
      <c r="N218" s="51">
        <f t="shared" si="27"/>
        <v>0</v>
      </c>
      <c r="P218" s="51">
        <f t="shared" si="28"/>
        <v>5855.3570999955982</v>
      </c>
      <c r="Q218" s="63">
        <f>-PV(BondCalculator!$B$9/12,B218,0,1,0)</f>
        <v>0.34221317243858074</v>
      </c>
      <c r="S218" s="64">
        <f t="shared" si="29"/>
        <v>2003.7803289502617</v>
      </c>
    </row>
    <row r="219" spans="1:19" ht="16.05" customHeight="1" x14ac:dyDescent="0.25">
      <c r="A219" s="61" t="s">
        <v>111</v>
      </c>
      <c r="B219" s="72">
        <v>216</v>
      </c>
      <c r="C219" s="12">
        <f t="shared" si="35"/>
        <v>590188.40065954078</v>
      </c>
      <c r="D219" s="12">
        <f>IF(G218=0,0,IF(G218&lt;BondCalculator!$B$12,G218+E219,BondCalculator!$B$12))</f>
        <v>26660.740787821473</v>
      </c>
      <c r="E219" s="12">
        <f>C219*BondCalculator!$B$5/12</f>
        <v>5655.9721729872663</v>
      </c>
      <c r="F219" s="12">
        <f t="shared" si="30"/>
        <v>21004.768614834207</v>
      </c>
      <c r="G219" s="12">
        <f t="shared" si="31"/>
        <v>569183.63204470661</v>
      </c>
      <c r="H219" s="22">
        <f t="shared" si="32"/>
        <v>0.22767345281788265</v>
      </c>
      <c r="J219" s="51">
        <f t="shared" si="33"/>
        <v>0</v>
      </c>
      <c r="K219" s="51">
        <f>IF(N218=0,0,IF(N218&lt;BondCalculator!$B$12+BondCalculator!$B$7,N218+L219,BondCalculator!$B$12+BondCalculator!$B$7))</f>
        <v>0</v>
      </c>
      <c r="L219" s="51">
        <f>J219*BondCalculator!$B$5/12</f>
        <v>0</v>
      </c>
      <c r="M219" s="51">
        <f t="shared" si="34"/>
        <v>0</v>
      </c>
      <c r="N219" s="51">
        <f t="shared" si="27"/>
        <v>0</v>
      </c>
      <c r="P219" s="51">
        <f t="shared" si="28"/>
        <v>5655.9721729872663</v>
      </c>
      <c r="Q219" s="63">
        <f>-PV(BondCalculator!$B$9/12,B219,0,1,0)</f>
        <v>0.34051061934187127</v>
      </c>
      <c r="S219" s="64">
        <f t="shared" si="29"/>
        <v>1925.9185876042834</v>
      </c>
    </row>
    <row r="220" spans="1:19" ht="16.05" customHeight="1" x14ac:dyDescent="0.25">
      <c r="A220" s="61" t="s">
        <v>112</v>
      </c>
      <c r="B220" s="72">
        <v>217</v>
      </c>
      <c r="C220" s="12">
        <f t="shared" si="35"/>
        <v>569183.63204470661</v>
      </c>
      <c r="D220" s="12">
        <f>IF(G219=0,0,IF(G219&lt;BondCalculator!$B$12,G219+E220,BondCalculator!$B$12))</f>
        <v>26660.740787821473</v>
      </c>
      <c r="E220" s="12">
        <f>C220*BondCalculator!$B$5/12</f>
        <v>5454.6764737617714</v>
      </c>
      <c r="F220" s="12">
        <f t="shared" si="30"/>
        <v>21206.064314059702</v>
      </c>
      <c r="G220" s="12">
        <f t="shared" si="31"/>
        <v>547977.56773064693</v>
      </c>
      <c r="H220" s="22">
        <f t="shared" si="32"/>
        <v>0.21919102709225877</v>
      </c>
      <c r="J220" s="51">
        <f t="shared" si="33"/>
        <v>0</v>
      </c>
      <c r="K220" s="51">
        <f>IF(N219=0,0,IF(N219&lt;BondCalculator!$B$12+BondCalculator!$B$7,N219+L220,BondCalculator!$B$12+BondCalculator!$B$7))</f>
        <v>0</v>
      </c>
      <c r="L220" s="51">
        <f>J220*BondCalculator!$B$5/12</f>
        <v>0</v>
      </c>
      <c r="M220" s="51">
        <f t="shared" si="34"/>
        <v>0</v>
      </c>
      <c r="N220" s="51">
        <f t="shared" si="27"/>
        <v>0</v>
      </c>
      <c r="P220" s="51">
        <f t="shared" si="28"/>
        <v>5454.6764737617714</v>
      </c>
      <c r="Q220" s="63">
        <f>-PV(BondCalculator!$B$9/12,B220,0,1,0)</f>
        <v>0.33881653665857847</v>
      </c>
      <c r="S220" s="64">
        <f t="shared" si="29"/>
        <v>1848.1345914329906</v>
      </c>
    </row>
    <row r="221" spans="1:19" ht="16.05" customHeight="1" x14ac:dyDescent="0.25">
      <c r="A221" s="61" t="s">
        <v>112</v>
      </c>
      <c r="B221" s="72">
        <v>218</v>
      </c>
      <c r="C221" s="12">
        <f t="shared" si="35"/>
        <v>547977.56773064693</v>
      </c>
      <c r="D221" s="12">
        <f>IF(G220=0,0,IF(G220&lt;BondCalculator!$B$12,G220+E221,BondCalculator!$B$12))</f>
        <v>26660.740787821473</v>
      </c>
      <c r="E221" s="12">
        <f>C221*BondCalculator!$B$5/12</f>
        <v>5251.4516907520328</v>
      </c>
      <c r="F221" s="12">
        <f t="shared" si="30"/>
        <v>21409.289097069439</v>
      </c>
      <c r="G221" s="12">
        <f t="shared" si="31"/>
        <v>526568.27863357752</v>
      </c>
      <c r="H221" s="22">
        <f t="shared" si="32"/>
        <v>0.210627311453431</v>
      </c>
      <c r="J221" s="51">
        <f t="shared" si="33"/>
        <v>0</v>
      </c>
      <c r="K221" s="51">
        <f>IF(N220=0,0,IF(N220&lt;BondCalculator!$B$12+BondCalculator!$B$7,N220+L221,BondCalculator!$B$12+BondCalculator!$B$7))</f>
        <v>0</v>
      </c>
      <c r="L221" s="51">
        <f>J221*BondCalculator!$B$5/12</f>
        <v>0</v>
      </c>
      <c r="M221" s="51">
        <f t="shared" si="34"/>
        <v>0</v>
      </c>
      <c r="N221" s="51">
        <f t="shared" si="27"/>
        <v>0</v>
      </c>
      <c r="P221" s="51">
        <f t="shared" si="28"/>
        <v>5251.4516907520328</v>
      </c>
      <c r="Q221" s="63">
        <f>-PV(BondCalculator!$B$9/12,B221,0,1,0)</f>
        <v>0.33713088224734183</v>
      </c>
      <c r="S221" s="64">
        <f t="shared" si="29"/>
        <v>1770.4265415825278</v>
      </c>
    </row>
    <row r="222" spans="1:19" ht="16.05" customHeight="1" x14ac:dyDescent="0.25">
      <c r="A222" s="61" t="s">
        <v>112</v>
      </c>
      <c r="B222" s="72">
        <v>219</v>
      </c>
      <c r="C222" s="12">
        <f t="shared" si="35"/>
        <v>526568.27863357752</v>
      </c>
      <c r="D222" s="12">
        <f>IF(G221=0,0,IF(G221&lt;BondCalculator!$B$12,G221+E222,BondCalculator!$B$12))</f>
        <v>26660.740787821473</v>
      </c>
      <c r="E222" s="12">
        <f>C222*BondCalculator!$B$5/12</f>
        <v>5046.2793369051178</v>
      </c>
      <c r="F222" s="12">
        <f t="shared" si="30"/>
        <v>21614.461450916355</v>
      </c>
      <c r="G222" s="12">
        <f t="shared" si="31"/>
        <v>504953.81718266115</v>
      </c>
      <c r="H222" s="22">
        <f t="shared" si="32"/>
        <v>0.20198152687306445</v>
      </c>
      <c r="J222" s="51">
        <f t="shared" si="33"/>
        <v>0</v>
      </c>
      <c r="K222" s="51">
        <f>IF(N221=0,0,IF(N221&lt;BondCalculator!$B$12+BondCalculator!$B$7,N221+L222,BondCalculator!$B$12+BondCalculator!$B$7))</f>
        <v>0</v>
      </c>
      <c r="L222" s="51">
        <f>J222*BondCalculator!$B$5/12</f>
        <v>0</v>
      </c>
      <c r="M222" s="51">
        <f t="shared" si="34"/>
        <v>0</v>
      </c>
      <c r="N222" s="51">
        <f t="shared" si="27"/>
        <v>0</v>
      </c>
      <c r="P222" s="51">
        <f t="shared" si="28"/>
        <v>5046.2793369051178</v>
      </c>
      <c r="Q222" s="63">
        <f>-PV(BondCalculator!$B$9/12,B222,0,1,0)</f>
        <v>0.33545361417645952</v>
      </c>
      <c r="S222" s="64">
        <f t="shared" si="29"/>
        <v>1692.7926417088095</v>
      </c>
    </row>
    <row r="223" spans="1:19" ht="16.05" customHeight="1" x14ac:dyDescent="0.25">
      <c r="A223" s="61" t="s">
        <v>112</v>
      </c>
      <c r="B223" s="72">
        <v>220</v>
      </c>
      <c r="C223" s="12">
        <f t="shared" si="35"/>
        <v>504953.81718266115</v>
      </c>
      <c r="D223" s="12">
        <f>IF(G222=0,0,IF(G222&lt;BondCalculator!$B$12,G222+E223,BondCalculator!$B$12))</f>
        <v>26660.740787821473</v>
      </c>
      <c r="E223" s="12">
        <f>C223*BondCalculator!$B$5/12</f>
        <v>4839.1407480005028</v>
      </c>
      <c r="F223" s="12">
        <f t="shared" si="30"/>
        <v>21821.600039820969</v>
      </c>
      <c r="G223" s="12">
        <f t="shared" si="31"/>
        <v>483132.21714284021</v>
      </c>
      <c r="H223" s="22">
        <f t="shared" si="32"/>
        <v>0.19325288685713607</v>
      </c>
      <c r="J223" s="51">
        <f t="shared" si="33"/>
        <v>0</v>
      </c>
      <c r="K223" s="51">
        <f>IF(N222=0,0,IF(N222&lt;BondCalculator!$B$12+BondCalculator!$B$7,N222+L223,BondCalculator!$B$12+BondCalculator!$B$7))</f>
        <v>0</v>
      </c>
      <c r="L223" s="51">
        <f>J223*BondCalculator!$B$5/12</f>
        <v>0</v>
      </c>
      <c r="M223" s="51">
        <f t="shared" si="34"/>
        <v>0</v>
      </c>
      <c r="N223" s="51">
        <f t="shared" si="27"/>
        <v>0</v>
      </c>
      <c r="P223" s="51">
        <f t="shared" si="28"/>
        <v>4839.1407480005028</v>
      </c>
      <c r="Q223" s="63">
        <f>-PV(BondCalculator!$B$9/12,B223,0,1,0)</f>
        <v>0.33378469072284539</v>
      </c>
      <c r="S223" s="64">
        <f t="shared" si="29"/>
        <v>1615.2310979356664</v>
      </c>
    </row>
    <row r="224" spans="1:19" ht="16.05" customHeight="1" x14ac:dyDescent="0.25">
      <c r="A224" s="61" t="s">
        <v>112</v>
      </c>
      <c r="B224" s="72">
        <v>221</v>
      </c>
      <c r="C224" s="12">
        <f t="shared" si="35"/>
        <v>483132.21714284021</v>
      </c>
      <c r="D224" s="12">
        <f>IF(G223=0,0,IF(G223&lt;BondCalculator!$B$12,G223+E224,BondCalculator!$B$12))</f>
        <v>26660.740787821473</v>
      </c>
      <c r="E224" s="12">
        <f>C224*BondCalculator!$B$5/12</f>
        <v>4630.0170809522187</v>
      </c>
      <c r="F224" s="12">
        <f t="shared" si="30"/>
        <v>22030.723706869256</v>
      </c>
      <c r="G224" s="12">
        <f t="shared" si="31"/>
        <v>461101.49343597097</v>
      </c>
      <c r="H224" s="22">
        <f t="shared" si="32"/>
        <v>0.18444059737438839</v>
      </c>
      <c r="J224" s="51">
        <f t="shared" si="33"/>
        <v>0</v>
      </c>
      <c r="K224" s="51">
        <f>IF(N223=0,0,IF(N223&lt;BondCalculator!$B$12+BondCalculator!$B$7,N223+L224,BondCalculator!$B$12+BondCalculator!$B$7))</f>
        <v>0</v>
      </c>
      <c r="L224" s="51">
        <f>J224*BondCalculator!$B$5/12</f>
        <v>0</v>
      </c>
      <c r="M224" s="51">
        <f t="shared" si="34"/>
        <v>0</v>
      </c>
      <c r="N224" s="51">
        <f t="shared" si="27"/>
        <v>0</v>
      </c>
      <c r="P224" s="51">
        <f t="shared" si="28"/>
        <v>4630.0170809522187</v>
      </c>
      <c r="Q224" s="63">
        <f>-PV(BondCalculator!$B$9/12,B224,0,1,0)</f>
        <v>0.33212407037099051</v>
      </c>
      <c r="S224" s="64">
        <f t="shared" si="29"/>
        <v>1537.7401188130627</v>
      </c>
    </row>
    <row r="225" spans="1:19" ht="16.05" customHeight="1" x14ac:dyDescent="0.25">
      <c r="A225" s="61" t="s">
        <v>112</v>
      </c>
      <c r="B225" s="72">
        <v>222</v>
      </c>
      <c r="C225" s="12">
        <f t="shared" si="35"/>
        <v>461101.49343597097</v>
      </c>
      <c r="D225" s="12">
        <f>IF(G224=0,0,IF(G224&lt;BondCalculator!$B$12,G224+E225,BondCalculator!$B$12))</f>
        <v>26660.740787821473</v>
      </c>
      <c r="E225" s="12">
        <f>C225*BondCalculator!$B$5/12</f>
        <v>4418.8893120947223</v>
      </c>
      <c r="F225" s="12">
        <f t="shared" si="30"/>
        <v>22241.851475726751</v>
      </c>
      <c r="G225" s="12">
        <f t="shared" si="31"/>
        <v>438859.64196024422</v>
      </c>
      <c r="H225" s="22">
        <f t="shared" si="32"/>
        <v>0.17554385678409767</v>
      </c>
      <c r="J225" s="51">
        <f t="shared" si="33"/>
        <v>0</v>
      </c>
      <c r="K225" s="51">
        <f>IF(N224=0,0,IF(N224&lt;BondCalculator!$B$12+BondCalculator!$B$7,N224+L225,BondCalculator!$B$12+BondCalculator!$B$7))</f>
        <v>0</v>
      </c>
      <c r="L225" s="51">
        <f>J225*BondCalculator!$B$5/12</f>
        <v>0</v>
      </c>
      <c r="M225" s="51">
        <f t="shared" si="34"/>
        <v>0</v>
      </c>
      <c r="N225" s="51">
        <f t="shared" si="27"/>
        <v>0</v>
      </c>
      <c r="P225" s="51">
        <f t="shared" si="28"/>
        <v>4418.8893120947223</v>
      </c>
      <c r="Q225" s="63">
        <f>-PV(BondCalculator!$B$9/12,B225,0,1,0)</f>
        <v>0.33047171181193091</v>
      </c>
      <c r="S225" s="64">
        <f t="shared" si="29"/>
        <v>1460.3179152753887</v>
      </c>
    </row>
    <row r="226" spans="1:19" ht="16.05" customHeight="1" x14ac:dyDescent="0.25">
      <c r="A226" s="61" t="s">
        <v>112</v>
      </c>
      <c r="B226" s="72">
        <v>223</v>
      </c>
      <c r="C226" s="12">
        <f t="shared" si="35"/>
        <v>438859.64196024422</v>
      </c>
      <c r="D226" s="12">
        <f>IF(G225=0,0,IF(G225&lt;BondCalculator!$B$12,G225+E226,BondCalculator!$B$12))</f>
        <v>26660.740787821473</v>
      </c>
      <c r="E226" s="12">
        <f>C226*BondCalculator!$B$5/12</f>
        <v>4205.7382354523406</v>
      </c>
      <c r="F226" s="12">
        <f t="shared" si="30"/>
        <v>22455.002552369133</v>
      </c>
      <c r="G226" s="12">
        <f t="shared" si="31"/>
        <v>416404.63940787507</v>
      </c>
      <c r="H226" s="22">
        <f t="shared" si="32"/>
        <v>0.16656185576315002</v>
      </c>
      <c r="J226" s="51">
        <f t="shared" si="33"/>
        <v>0</v>
      </c>
      <c r="K226" s="51">
        <f>IF(N225=0,0,IF(N225&lt;BondCalculator!$B$12+BondCalculator!$B$7,N225+L226,BondCalculator!$B$12+BondCalculator!$B$7))</f>
        <v>0</v>
      </c>
      <c r="L226" s="51">
        <f>J226*BondCalculator!$B$5/12</f>
        <v>0</v>
      </c>
      <c r="M226" s="51">
        <f t="shared" si="34"/>
        <v>0</v>
      </c>
      <c r="N226" s="51">
        <f t="shared" si="27"/>
        <v>0</v>
      </c>
      <c r="P226" s="51">
        <f t="shared" si="28"/>
        <v>4205.7382354523406</v>
      </c>
      <c r="Q226" s="63">
        <f>-PV(BondCalculator!$B$9/12,B226,0,1,0)</f>
        <v>0.3288275739422199</v>
      </c>
      <c r="S226" s="64">
        <f t="shared" si="29"/>
        <v>1382.9627005998259</v>
      </c>
    </row>
    <row r="227" spans="1:19" ht="16.05" customHeight="1" x14ac:dyDescent="0.25">
      <c r="A227" s="61" t="s">
        <v>112</v>
      </c>
      <c r="B227" s="72">
        <v>224</v>
      </c>
      <c r="C227" s="12">
        <f t="shared" si="35"/>
        <v>416404.63940787507</v>
      </c>
      <c r="D227" s="12">
        <f>IF(G226=0,0,IF(G226&lt;BondCalculator!$B$12,G226+E227,BondCalculator!$B$12))</f>
        <v>26660.740787821473</v>
      </c>
      <c r="E227" s="12">
        <f>C227*BondCalculator!$B$5/12</f>
        <v>3990.544460992136</v>
      </c>
      <c r="F227" s="12">
        <f t="shared" si="30"/>
        <v>22670.196326829337</v>
      </c>
      <c r="G227" s="12">
        <f t="shared" si="31"/>
        <v>393734.44308104576</v>
      </c>
      <c r="H227" s="22">
        <f t="shared" si="32"/>
        <v>0.15749377723241831</v>
      </c>
      <c r="J227" s="51">
        <f t="shared" si="33"/>
        <v>0</v>
      </c>
      <c r="K227" s="51">
        <f>IF(N226=0,0,IF(N226&lt;BondCalculator!$B$12+BondCalculator!$B$7,N226+L227,BondCalculator!$B$12+BondCalculator!$B$7))</f>
        <v>0</v>
      </c>
      <c r="L227" s="51">
        <f>J227*BondCalculator!$B$5/12</f>
        <v>0</v>
      </c>
      <c r="M227" s="51">
        <f t="shared" si="34"/>
        <v>0</v>
      </c>
      <c r="N227" s="51">
        <f t="shared" si="27"/>
        <v>0</v>
      </c>
      <c r="P227" s="51">
        <f t="shared" si="28"/>
        <v>3990.544460992136</v>
      </c>
      <c r="Q227" s="63">
        <f>-PV(BondCalculator!$B$9/12,B227,0,1,0)</f>
        <v>0.3271916158629054</v>
      </c>
      <c r="S227" s="64">
        <f t="shared" si="29"/>
        <v>1305.6726903647839</v>
      </c>
    </row>
    <row r="228" spans="1:19" ht="16.05" customHeight="1" x14ac:dyDescent="0.25">
      <c r="A228" s="61" t="s">
        <v>112</v>
      </c>
      <c r="B228" s="72">
        <v>225</v>
      </c>
      <c r="C228" s="12">
        <f t="shared" si="35"/>
        <v>393734.44308104576</v>
      </c>
      <c r="D228" s="12">
        <f>IF(G227=0,0,IF(G227&lt;BondCalculator!$B$12,G227+E228,BondCalculator!$B$12))</f>
        <v>26660.740787821473</v>
      </c>
      <c r="E228" s="12">
        <f>C228*BondCalculator!$B$5/12</f>
        <v>3773.2884128600217</v>
      </c>
      <c r="F228" s="12">
        <f t="shared" si="30"/>
        <v>22887.452374961453</v>
      </c>
      <c r="G228" s="12">
        <f t="shared" si="31"/>
        <v>370846.9907060843</v>
      </c>
      <c r="H228" s="22">
        <f t="shared" si="32"/>
        <v>0.14833879628243371</v>
      </c>
      <c r="J228" s="51">
        <f t="shared" si="33"/>
        <v>0</v>
      </c>
      <c r="K228" s="51">
        <f>IF(N227=0,0,IF(N227&lt;BondCalculator!$B$12+BondCalculator!$B$7,N227+L228,BondCalculator!$B$12+BondCalculator!$B$7))</f>
        <v>0</v>
      </c>
      <c r="L228" s="51">
        <f>J228*BondCalculator!$B$5/12</f>
        <v>0</v>
      </c>
      <c r="M228" s="51">
        <f t="shared" si="34"/>
        <v>0</v>
      </c>
      <c r="N228" s="51">
        <f t="shared" si="27"/>
        <v>0</v>
      </c>
      <c r="P228" s="51">
        <f t="shared" si="28"/>
        <v>3773.2884128600217</v>
      </c>
      <c r="Q228" s="63">
        <f>-PV(BondCalculator!$B$9/12,B228,0,1,0)</f>
        <v>0.32556379687851289</v>
      </c>
      <c r="S228" s="64">
        <f t="shared" si="29"/>
        <v>1228.4461024084064</v>
      </c>
    </row>
    <row r="229" spans="1:19" ht="16.05" customHeight="1" x14ac:dyDescent="0.25">
      <c r="A229" s="61" t="s">
        <v>112</v>
      </c>
      <c r="B229" s="72">
        <v>226</v>
      </c>
      <c r="C229" s="12">
        <f t="shared" si="35"/>
        <v>370846.9907060843</v>
      </c>
      <c r="D229" s="12">
        <f>IF(G228=0,0,IF(G228&lt;BondCalculator!$B$12,G228+E229,BondCalculator!$B$12))</f>
        <v>26660.740787821473</v>
      </c>
      <c r="E229" s="12">
        <f>C229*BondCalculator!$B$5/12</f>
        <v>3553.9503275999746</v>
      </c>
      <c r="F229" s="12">
        <f t="shared" si="30"/>
        <v>23106.790460221499</v>
      </c>
      <c r="G229" s="12">
        <f t="shared" si="31"/>
        <v>347740.20024586283</v>
      </c>
      <c r="H229" s="22">
        <f t="shared" si="32"/>
        <v>0.13909608009834512</v>
      </c>
      <c r="J229" s="51">
        <f t="shared" si="33"/>
        <v>0</v>
      </c>
      <c r="K229" s="51">
        <f>IF(N228=0,0,IF(N228&lt;BondCalculator!$B$12+BondCalculator!$B$7,N228+L229,BondCalculator!$B$12+BondCalculator!$B$7))</f>
        <v>0</v>
      </c>
      <c r="L229" s="51">
        <f>J229*BondCalculator!$B$5/12</f>
        <v>0</v>
      </c>
      <c r="M229" s="51">
        <f t="shared" si="34"/>
        <v>0</v>
      </c>
      <c r="N229" s="51">
        <f t="shared" si="27"/>
        <v>0</v>
      </c>
      <c r="P229" s="51">
        <f t="shared" si="28"/>
        <v>3553.9503275999746</v>
      </c>
      <c r="Q229" s="63">
        <f>-PV(BondCalculator!$B$9/12,B229,0,1,0)</f>
        <v>0.32394407649603274</v>
      </c>
      <c r="S229" s="64">
        <f t="shared" si="29"/>
        <v>1151.2811567871468</v>
      </c>
    </row>
    <row r="230" spans="1:19" ht="16.05" customHeight="1" x14ac:dyDescent="0.25">
      <c r="A230" s="61" t="s">
        <v>112</v>
      </c>
      <c r="B230" s="72">
        <v>227</v>
      </c>
      <c r="C230" s="12">
        <f t="shared" si="35"/>
        <v>347740.20024586283</v>
      </c>
      <c r="D230" s="12">
        <f>IF(G229=0,0,IF(G229&lt;BondCalculator!$B$12,G229+E230,BondCalculator!$B$12))</f>
        <v>26660.740787821473</v>
      </c>
      <c r="E230" s="12">
        <f>C230*BondCalculator!$B$5/12</f>
        <v>3332.5102523561854</v>
      </c>
      <c r="F230" s="12">
        <f t="shared" si="30"/>
        <v>23328.230535465285</v>
      </c>
      <c r="G230" s="12">
        <f t="shared" si="31"/>
        <v>324411.96971039753</v>
      </c>
      <c r="H230" s="22">
        <f t="shared" si="32"/>
        <v>0.12976478788415902</v>
      </c>
      <c r="J230" s="51">
        <f t="shared" si="33"/>
        <v>0</v>
      </c>
      <c r="K230" s="51">
        <f>IF(N229=0,0,IF(N229&lt;BondCalculator!$B$12+BondCalculator!$B$7,N229+L230,BondCalculator!$B$12+BondCalculator!$B$7))</f>
        <v>0</v>
      </c>
      <c r="L230" s="51">
        <f>J230*BondCalculator!$B$5/12</f>
        <v>0</v>
      </c>
      <c r="M230" s="51">
        <f t="shared" si="34"/>
        <v>0</v>
      </c>
      <c r="N230" s="51">
        <f t="shared" si="27"/>
        <v>0</v>
      </c>
      <c r="P230" s="51">
        <f t="shared" si="28"/>
        <v>3332.5102523561854</v>
      </c>
      <c r="Q230" s="63">
        <f>-PV(BondCalculator!$B$9/12,B230,0,1,0)</f>
        <v>0.32233241442391319</v>
      </c>
      <c r="S230" s="64">
        <f t="shared" si="29"/>
        <v>1074.1760757344134</v>
      </c>
    </row>
    <row r="231" spans="1:19" ht="16.05" customHeight="1" x14ac:dyDescent="0.25">
      <c r="A231" s="61" t="s">
        <v>112</v>
      </c>
      <c r="B231" s="72">
        <v>228</v>
      </c>
      <c r="C231" s="12">
        <f t="shared" si="35"/>
        <v>324411.96971039753</v>
      </c>
      <c r="D231" s="12">
        <f>IF(G230=0,0,IF(G230&lt;BondCalculator!$B$12,G230+E231,BondCalculator!$B$12))</f>
        <v>26660.740787821473</v>
      </c>
      <c r="E231" s="12">
        <f>C231*BondCalculator!$B$5/12</f>
        <v>3108.9480430579765</v>
      </c>
      <c r="F231" s="12">
        <f t="shared" si="30"/>
        <v>23551.792744763497</v>
      </c>
      <c r="G231" s="12">
        <f t="shared" si="31"/>
        <v>300860.17696563405</v>
      </c>
      <c r="H231" s="22">
        <f t="shared" si="32"/>
        <v>0.12034407078625362</v>
      </c>
      <c r="J231" s="51">
        <f t="shared" si="33"/>
        <v>0</v>
      </c>
      <c r="K231" s="51">
        <f>IF(N230=0,0,IF(N230&lt;BondCalculator!$B$12+BondCalculator!$B$7,N230+L231,BondCalculator!$B$12+BondCalculator!$B$7))</f>
        <v>0</v>
      </c>
      <c r="L231" s="51">
        <f>J231*BondCalculator!$B$5/12</f>
        <v>0</v>
      </c>
      <c r="M231" s="51">
        <f t="shared" si="34"/>
        <v>0</v>
      </c>
      <c r="N231" s="51">
        <f t="shared" si="27"/>
        <v>0</v>
      </c>
      <c r="P231" s="51">
        <f t="shared" si="28"/>
        <v>3108.9480430579765</v>
      </c>
      <c r="Q231" s="63">
        <f>-PV(BondCalculator!$B$9/12,B231,0,1,0)</f>
        <v>0.32072877057105803</v>
      </c>
      <c r="S231" s="64">
        <f t="shared" si="29"/>
        <v>997.12908361928157</v>
      </c>
    </row>
    <row r="232" spans="1:19" ht="16.05" customHeight="1" x14ac:dyDescent="0.25">
      <c r="A232" s="61" t="s">
        <v>113</v>
      </c>
      <c r="B232" s="72">
        <v>229</v>
      </c>
      <c r="C232" s="12">
        <f t="shared" si="35"/>
        <v>300860.17696563405</v>
      </c>
      <c r="D232" s="12">
        <f>IF(G231=0,0,IF(G231&lt;BondCalculator!$B$12,G231+E232,BondCalculator!$B$12))</f>
        <v>26660.740787821473</v>
      </c>
      <c r="E232" s="12">
        <f>C232*BondCalculator!$B$5/12</f>
        <v>2883.2433625873268</v>
      </c>
      <c r="F232" s="12">
        <f t="shared" si="30"/>
        <v>23777.497425234145</v>
      </c>
      <c r="G232" s="12">
        <f t="shared" si="31"/>
        <v>277082.67954039993</v>
      </c>
      <c r="H232" s="22">
        <f t="shared" si="32"/>
        <v>0.11083307181615996</v>
      </c>
      <c r="J232" s="51">
        <f t="shared" si="33"/>
        <v>0</v>
      </c>
      <c r="K232" s="51">
        <f>IF(N231=0,0,IF(N231&lt;BondCalculator!$B$12+BondCalculator!$B$7,N231+L232,BondCalculator!$B$12+BondCalculator!$B$7))</f>
        <v>0</v>
      </c>
      <c r="L232" s="51">
        <f>J232*BondCalculator!$B$5/12</f>
        <v>0</v>
      </c>
      <c r="M232" s="51">
        <f t="shared" si="34"/>
        <v>0</v>
      </c>
      <c r="N232" s="51">
        <f t="shared" si="27"/>
        <v>0</v>
      </c>
      <c r="P232" s="51">
        <f t="shared" si="28"/>
        <v>2883.2433625873268</v>
      </c>
      <c r="Q232" s="63">
        <f>-PV(BondCalculator!$B$9/12,B232,0,1,0)</f>
        <v>0.31913310504582898</v>
      </c>
      <c r="S232" s="64">
        <f t="shared" si="29"/>
        <v>920.13840690527059</v>
      </c>
    </row>
    <row r="233" spans="1:19" ht="16.05" customHeight="1" x14ac:dyDescent="0.25">
      <c r="A233" s="61" t="s">
        <v>113</v>
      </c>
      <c r="B233" s="72">
        <v>230</v>
      </c>
      <c r="C233" s="12">
        <f t="shared" si="35"/>
        <v>277082.67954039993</v>
      </c>
      <c r="D233" s="12">
        <f>IF(G232=0,0,IF(G232&lt;BondCalculator!$B$12,G232+E233,BondCalculator!$B$12))</f>
        <v>26660.740787821473</v>
      </c>
      <c r="E233" s="12">
        <f>C233*BondCalculator!$B$5/12</f>
        <v>2655.3756789288327</v>
      </c>
      <c r="F233" s="12">
        <f t="shared" si="30"/>
        <v>24005.365108892642</v>
      </c>
      <c r="G233" s="12">
        <f t="shared" si="31"/>
        <v>253077.31443150729</v>
      </c>
      <c r="H233" s="22">
        <f t="shared" si="32"/>
        <v>0.10123092577260291</v>
      </c>
      <c r="J233" s="51">
        <f t="shared" si="33"/>
        <v>0</v>
      </c>
      <c r="K233" s="51">
        <f>IF(N232=0,0,IF(N232&lt;BondCalculator!$B$12+BondCalculator!$B$7,N232+L233,BondCalculator!$B$12+BondCalculator!$B$7))</f>
        <v>0</v>
      </c>
      <c r="L233" s="51">
        <f>J233*BondCalculator!$B$5/12</f>
        <v>0</v>
      </c>
      <c r="M233" s="51">
        <f t="shared" si="34"/>
        <v>0</v>
      </c>
      <c r="N233" s="51">
        <f t="shared" si="27"/>
        <v>0</v>
      </c>
      <c r="P233" s="51">
        <f t="shared" si="28"/>
        <v>2655.3756789288327</v>
      </c>
      <c r="Q233" s="63">
        <f>-PV(BondCalculator!$B$9/12,B233,0,1,0)</f>
        <v>0.31754537815505368</v>
      </c>
      <c r="S233" s="64">
        <f t="shared" si="29"/>
        <v>843.20227410918858</v>
      </c>
    </row>
    <row r="234" spans="1:19" ht="16.05" customHeight="1" x14ac:dyDescent="0.25">
      <c r="A234" s="61" t="s">
        <v>113</v>
      </c>
      <c r="B234" s="72">
        <v>231</v>
      </c>
      <c r="C234" s="12">
        <f t="shared" si="35"/>
        <v>253077.31443150729</v>
      </c>
      <c r="D234" s="12">
        <f>IF(G233=0,0,IF(G233&lt;BondCalculator!$B$12,G233+E234,BondCalculator!$B$12))</f>
        <v>26660.740787821473</v>
      </c>
      <c r="E234" s="12">
        <f>C234*BondCalculator!$B$5/12</f>
        <v>2425.3242633019449</v>
      </c>
      <c r="F234" s="12">
        <f t="shared" si="30"/>
        <v>24235.416524519529</v>
      </c>
      <c r="G234" s="12">
        <f t="shared" si="31"/>
        <v>228841.89790698775</v>
      </c>
      <c r="H234" s="22">
        <f t="shared" si="32"/>
        <v>9.1536759162795106E-2</v>
      </c>
      <c r="J234" s="51">
        <f t="shared" si="33"/>
        <v>0</v>
      </c>
      <c r="K234" s="51">
        <f>IF(N233=0,0,IF(N233&lt;BondCalculator!$B$12+BondCalculator!$B$7,N233+L234,BondCalculator!$B$12+BondCalculator!$B$7))</f>
        <v>0</v>
      </c>
      <c r="L234" s="51">
        <f>J234*BondCalculator!$B$5/12</f>
        <v>0</v>
      </c>
      <c r="M234" s="51">
        <f t="shared" si="34"/>
        <v>0</v>
      </c>
      <c r="N234" s="51">
        <f t="shared" si="27"/>
        <v>0</v>
      </c>
      <c r="P234" s="51">
        <f t="shared" si="28"/>
        <v>2425.3242633019449</v>
      </c>
      <c r="Q234" s="63">
        <f>-PV(BondCalculator!$B$9/12,B234,0,1,0)</f>
        <v>0.31596555040303853</v>
      </c>
      <c r="S234" s="64">
        <f t="shared" si="29"/>
        <v>766.31891576004296</v>
      </c>
    </row>
    <row r="235" spans="1:19" ht="16.05" customHeight="1" x14ac:dyDescent="0.25">
      <c r="A235" s="61" t="s">
        <v>113</v>
      </c>
      <c r="B235" s="72">
        <v>232</v>
      </c>
      <c r="C235" s="12">
        <f t="shared" si="35"/>
        <v>228841.89790698775</v>
      </c>
      <c r="D235" s="12">
        <f>IF(G234=0,0,IF(G234&lt;BondCalculator!$B$12,G234+E235,BondCalculator!$B$12))</f>
        <v>26660.740787821473</v>
      </c>
      <c r="E235" s="12">
        <f>C235*BondCalculator!$B$5/12</f>
        <v>2193.0681882752992</v>
      </c>
      <c r="F235" s="12">
        <f t="shared" si="30"/>
        <v>24467.672599546175</v>
      </c>
      <c r="G235" s="12">
        <f t="shared" si="31"/>
        <v>204374.22530744158</v>
      </c>
      <c r="H235" s="22">
        <f t="shared" si="32"/>
        <v>8.1749690122976629E-2</v>
      </c>
      <c r="J235" s="51">
        <f t="shared" si="33"/>
        <v>0</v>
      </c>
      <c r="K235" s="51">
        <f>IF(N234=0,0,IF(N234&lt;BondCalculator!$B$12+BondCalculator!$B$7,N234+L235,BondCalculator!$B$12+BondCalculator!$B$7))</f>
        <v>0</v>
      </c>
      <c r="L235" s="51">
        <f>J235*BondCalculator!$B$5/12</f>
        <v>0</v>
      </c>
      <c r="M235" s="51">
        <f t="shared" si="34"/>
        <v>0</v>
      </c>
      <c r="N235" s="51">
        <f t="shared" si="27"/>
        <v>0</v>
      </c>
      <c r="P235" s="51">
        <f t="shared" si="28"/>
        <v>2193.0681882752992</v>
      </c>
      <c r="Q235" s="63">
        <f>-PV(BondCalculator!$B$9/12,B235,0,1,0)</f>
        <v>0.31439358249058563</v>
      </c>
      <c r="S235" s="64">
        <f t="shared" si="29"/>
        <v>689.48656435800945</v>
      </c>
    </row>
    <row r="236" spans="1:19" ht="16.05" customHeight="1" x14ac:dyDescent="0.25">
      <c r="A236" s="61" t="s">
        <v>113</v>
      </c>
      <c r="B236" s="72">
        <v>233</v>
      </c>
      <c r="C236" s="12">
        <f t="shared" si="35"/>
        <v>204374.22530744158</v>
      </c>
      <c r="D236" s="12">
        <f>IF(G235=0,0,IF(G235&lt;BondCalculator!$B$12,G235+E236,BondCalculator!$B$12))</f>
        <v>26660.740787821473</v>
      </c>
      <c r="E236" s="12">
        <f>C236*BondCalculator!$B$5/12</f>
        <v>1958.5863258629818</v>
      </c>
      <c r="F236" s="12">
        <f t="shared" si="30"/>
        <v>24702.154461958489</v>
      </c>
      <c r="G236" s="12">
        <f t="shared" si="31"/>
        <v>179672.0708454831</v>
      </c>
      <c r="H236" s="22">
        <f t="shared" si="32"/>
        <v>7.1868828338193247E-2</v>
      </c>
      <c r="J236" s="51">
        <f t="shared" si="33"/>
        <v>0</v>
      </c>
      <c r="K236" s="51">
        <f>IF(N235=0,0,IF(N235&lt;BondCalculator!$B$12+BondCalculator!$B$7,N235+L236,BondCalculator!$B$12+BondCalculator!$B$7))</f>
        <v>0</v>
      </c>
      <c r="L236" s="51">
        <f>J236*BondCalculator!$B$5/12</f>
        <v>0</v>
      </c>
      <c r="M236" s="51">
        <f t="shared" si="34"/>
        <v>0</v>
      </c>
      <c r="N236" s="51">
        <f t="shared" si="27"/>
        <v>0</v>
      </c>
      <c r="P236" s="51">
        <f t="shared" si="28"/>
        <v>1958.5863258629818</v>
      </c>
      <c r="Q236" s="63">
        <f>-PV(BondCalculator!$B$9/12,B236,0,1,0)</f>
        <v>0.31282943531401564</v>
      </c>
      <c r="S236" s="64">
        <f t="shared" si="29"/>
        <v>612.70345433346915</v>
      </c>
    </row>
    <row r="237" spans="1:19" ht="16.05" customHeight="1" x14ac:dyDescent="0.25">
      <c r="A237" s="61" t="s">
        <v>113</v>
      </c>
      <c r="B237" s="72">
        <v>234</v>
      </c>
      <c r="C237" s="12">
        <f t="shared" si="35"/>
        <v>179672.0708454831</v>
      </c>
      <c r="D237" s="12">
        <f>IF(G236=0,0,IF(G236&lt;BondCalculator!$B$12,G236+E237,BondCalculator!$B$12))</f>
        <v>26660.740787821473</v>
      </c>
      <c r="E237" s="12">
        <f>C237*BondCalculator!$B$5/12</f>
        <v>1721.8573456025463</v>
      </c>
      <c r="F237" s="12">
        <f t="shared" si="30"/>
        <v>24938.883442218925</v>
      </c>
      <c r="G237" s="12">
        <f t="shared" si="31"/>
        <v>154733.18740326416</v>
      </c>
      <c r="H237" s="22">
        <f t="shared" si="32"/>
        <v>6.1893274961305665E-2</v>
      </c>
      <c r="J237" s="51">
        <f t="shared" si="33"/>
        <v>0</v>
      </c>
      <c r="K237" s="51">
        <f>IF(N236=0,0,IF(N236&lt;BondCalculator!$B$12+BondCalculator!$B$7,N236+L237,BondCalculator!$B$12+BondCalculator!$B$7))</f>
        <v>0</v>
      </c>
      <c r="L237" s="51">
        <f>J237*BondCalculator!$B$5/12</f>
        <v>0</v>
      </c>
      <c r="M237" s="51">
        <f t="shared" si="34"/>
        <v>0</v>
      </c>
      <c r="N237" s="51">
        <f t="shared" si="27"/>
        <v>0</v>
      </c>
      <c r="P237" s="51">
        <f t="shared" si="28"/>
        <v>1721.8573456025463</v>
      </c>
      <c r="Q237" s="63">
        <f>-PV(BondCalculator!$B$9/12,B237,0,1,0)</f>
        <v>0.31127306996419474</v>
      </c>
      <c r="S237" s="64">
        <f t="shared" si="29"/>
        <v>535.96782200610403</v>
      </c>
    </row>
    <row r="238" spans="1:19" ht="16.05" customHeight="1" x14ac:dyDescent="0.25">
      <c r="A238" s="61" t="s">
        <v>113</v>
      </c>
      <c r="B238" s="72">
        <v>235</v>
      </c>
      <c r="C238" s="12">
        <f t="shared" si="35"/>
        <v>154733.18740326416</v>
      </c>
      <c r="D238" s="12">
        <f>IF(G237=0,0,IF(G237&lt;BondCalculator!$B$12,G237+E238,BondCalculator!$B$12))</f>
        <v>26660.740787821473</v>
      </c>
      <c r="E238" s="12">
        <f>C238*BondCalculator!$B$5/12</f>
        <v>1482.8597126146151</v>
      </c>
      <c r="F238" s="12">
        <f t="shared" si="30"/>
        <v>25177.881075206857</v>
      </c>
      <c r="G238" s="12">
        <f t="shared" si="31"/>
        <v>129555.30632805731</v>
      </c>
      <c r="H238" s="22">
        <f t="shared" si="32"/>
        <v>5.1822122531222925E-2</v>
      </c>
      <c r="J238" s="51">
        <f t="shared" si="33"/>
        <v>0</v>
      </c>
      <c r="K238" s="51">
        <f>IF(N237=0,0,IF(N237&lt;BondCalculator!$B$12+BondCalculator!$B$7,N237+L238,BondCalculator!$B$12+BondCalculator!$B$7))</f>
        <v>0</v>
      </c>
      <c r="L238" s="51">
        <f>J238*BondCalculator!$B$5/12</f>
        <v>0</v>
      </c>
      <c r="M238" s="51">
        <f t="shared" si="34"/>
        <v>0</v>
      </c>
      <c r="N238" s="51">
        <f t="shared" si="27"/>
        <v>0</v>
      </c>
      <c r="P238" s="51">
        <f t="shared" si="28"/>
        <v>1482.8597126146151</v>
      </c>
      <c r="Q238" s="63">
        <f>-PV(BondCalculator!$B$9/12,B238,0,1,0)</f>
        <v>0.3097244477255669</v>
      </c>
      <c r="S238" s="64">
        <f t="shared" si="29"/>
        <v>459.27790554405453</v>
      </c>
    </row>
    <row r="239" spans="1:19" ht="16.05" customHeight="1" x14ac:dyDescent="0.25">
      <c r="A239" s="61" t="s">
        <v>113</v>
      </c>
      <c r="B239" s="72">
        <v>236</v>
      </c>
      <c r="C239" s="12">
        <f t="shared" si="35"/>
        <v>129555.30632805731</v>
      </c>
      <c r="D239" s="12">
        <f>IF(G238=0,0,IF(G238&lt;BondCalculator!$B$12,G238+E239,BondCalculator!$B$12))</f>
        <v>26660.740787821473</v>
      </c>
      <c r="E239" s="12">
        <f>C239*BondCalculator!$B$5/12</f>
        <v>1241.5716856438826</v>
      </c>
      <c r="F239" s="12">
        <f t="shared" si="30"/>
        <v>25419.169102177591</v>
      </c>
      <c r="G239" s="12">
        <f t="shared" si="31"/>
        <v>104136.13722587972</v>
      </c>
      <c r="H239" s="22">
        <f t="shared" si="32"/>
        <v>4.165445489035189E-2</v>
      </c>
      <c r="J239" s="51">
        <f t="shared" si="33"/>
        <v>0</v>
      </c>
      <c r="K239" s="51">
        <f>IF(N238=0,0,IF(N238&lt;BondCalculator!$B$12+BondCalculator!$B$7,N238+L239,BondCalculator!$B$12+BondCalculator!$B$7))</f>
        <v>0</v>
      </c>
      <c r="L239" s="51">
        <f>J239*BondCalculator!$B$5/12</f>
        <v>0</v>
      </c>
      <c r="M239" s="51">
        <f t="shared" si="34"/>
        <v>0</v>
      </c>
      <c r="N239" s="51">
        <f t="shared" si="27"/>
        <v>0</v>
      </c>
      <c r="P239" s="51">
        <f t="shared" si="28"/>
        <v>1241.5716856438826</v>
      </c>
      <c r="Q239" s="63">
        <f>-PV(BondCalculator!$B$9/12,B239,0,1,0)</f>
        <v>0.308183530075191</v>
      </c>
      <c r="S239" s="64">
        <f t="shared" si="29"/>
        <v>382.6319449231371</v>
      </c>
    </row>
    <row r="240" spans="1:19" ht="16.05" customHeight="1" x14ac:dyDescent="0.25">
      <c r="A240" s="61" t="s">
        <v>113</v>
      </c>
      <c r="B240" s="72">
        <v>237</v>
      </c>
      <c r="C240" s="12">
        <f t="shared" si="35"/>
        <v>104136.13722587972</v>
      </c>
      <c r="D240" s="12">
        <f>IF(G239=0,0,IF(G239&lt;BondCalculator!$B$12,G239+E240,BondCalculator!$B$12))</f>
        <v>26660.740787821473</v>
      </c>
      <c r="E240" s="12">
        <f>C240*BondCalculator!$B$5/12</f>
        <v>997.97131508134737</v>
      </c>
      <c r="F240" s="12">
        <f t="shared" si="30"/>
        <v>25662.769472740125</v>
      </c>
      <c r="G240" s="12">
        <f t="shared" si="31"/>
        <v>78473.367753139595</v>
      </c>
      <c r="H240" s="22">
        <f t="shared" si="32"/>
        <v>3.1389347101255835E-2</v>
      </c>
      <c r="J240" s="51">
        <f t="shared" si="33"/>
        <v>0</v>
      </c>
      <c r="K240" s="51">
        <f>IF(N239=0,0,IF(N239&lt;BondCalculator!$B$12+BondCalculator!$B$7,N239+L240,BondCalculator!$B$12+BondCalculator!$B$7))</f>
        <v>0</v>
      </c>
      <c r="L240" s="51">
        <f>J240*BondCalculator!$B$5/12</f>
        <v>0</v>
      </c>
      <c r="M240" s="51">
        <f t="shared" si="34"/>
        <v>0</v>
      </c>
      <c r="N240" s="51">
        <f t="shared" si="27"/>
        <v>0</v>
      </c>
      <c r="P240" s="51">
        <f t="shared" si="28"/>
        <v>997.97131508134737</v>
      </c>
      <c r="Q240" s="63">
        <f>-PV(BondCalculator!$B$9/12,B240,0,1,0)</f>
        <v>0.30665027868178218</v>
      </c>
      <c r="S240" s="64">
        <f t="shared" si="29"/>
        <v>306.02818188611985</v>
      </c>
    </row>
    <row r="241" spans="1:19" ht="16.05" customHeight="1" x14ac:dyDescent="0.25">
      <c r="A241" s="61" t="s">
        <v>113</v>
      </c>
      <c r="B241" s="72">
        <v>238</v>
      </c>
      <c r="C241" s="12">
        <f t="shared" si="35"/>
        <v>78473.367753139595</v>
      </c>
      <c r="D241" s="12">
        <f>IF(G240=0,0,IF(G240&lt;BondCalculator!$B$12,G240+E241,BondCalculator!$B$12))</f>
        <v>26660.740787821473</v>
      </c>
      <c r="E241" s="12">
        <f>C241*BondCalculator!$B$5/12</f>
        <v>752.03644096758774</v>
      </c>
      <c r="F241" s="12">
        <f t="shared" si="30"/>
        <v>25908.704346853883</v>
      </c>
      <c r="G241" s="12">
        <f t="shared" si="31"/>
        <v>52564.663406285712</v>
      </c>
      <c r="H241" s="22">
        <f t="shared" si="32"/>
        <v>2.1025865362514284E-2</v>
      </c>
      <c r="J241" s="51">
        <f t="shared" si="33"/>
        <v>0</v>
      </c>
      <c r="K241" s="51">
        <f>IF(N240=0,0,IF(N240&lt;BondCalculator!$B$12+BondCalculator!$B$7,N240+L241,BondCalculator!$B$12+BondCalculator!$B$7))</f>
        <v>0</v>
      </c>
      <c r="L241" s="51">
        <f>J241*BondCalculator!$B$5/12</f>
        <v>0</v>
      </c>
      <c r="M241" s="51">
        <f t="shared" si="34"/>
        <v>0</v>
      </c>
      <c r="N241" s="51">
        <f t="shared" si="27"/>
        <v>0</v>
      </c>
      <c r="P241" s="51">
        <f t="shared" si="28"/>
        <v>752.03644096758774</v>
      </c>
      <c r="Q241" s="63">
        <f>-PV(BondCalculator!$B$9/12,B241,0,1,0)</f>
        <v>0.30512465540475842</v>
      </c>
      <c r="S241" s="64">
        <f t="shared" si="29"/>
        <v>229.46485990205616</v>
      </c>
    </row>
    <row r="242" spans="1:19" ht="16.05" customHeight="1" x14ac:dyDescent="0.25">
      <c r="A242" s="61" t="s">
        <v>113</v>
      </c>
      <c r="B242" s="72">
        <v>239</v>
      </c>
      <c r="C242" s="12">
        <f t="shared" si="35"/>
        <v>52564.663406285712</v>
      </c>
      <c r="D242" s="12">
        <f>IF(G241=0,0,IF(G241&lt;BondCalculator!$B$12,G241+E242,BondCalculator!$B$12))</f>
        <v>26660.740787821473</v>
      </c>
      <c r="E242" s="12">
        <f>C242*BondCalculator!$B$5/12</f>
        <v>503.74469097690479</v>
      </c>
      <c r="F242" s="12">
        <f t="shared" si="30"/>
        <v>26156.996096844567</v>
      </c>
      <c r="G242" s="12">
        <f t="shared" si="31"/>
        <v>26407.667309441145</v>
      </c>
      <c r="H242" s="22">
        <f t="shared" si="32"/>
        <v>1.0563066923776458E-2</v>
      </c>
      <c r="J242" s="51">
        <f t="shared" si="33"/>
        <v>0</v>
      </c>
      <c r="K242" s="51">
        <f>IF(N241=0,0,IF(N241&lt;BondCalculator!$B$12+BondCalculator!$B$7,N241+L242,BondCalculator!$B$12+BondCalculator!$B$7))</f>
        <v>0</v>
      </c>
      <c r="L242" s="51">
        <f>J242*BondCalculator!$B$5/12</f>
        <v>0</v>
      </c>
      <c r="M242" s="51">
        <f t="shared" si="34"/>
        <v>0</v>
      </c>
      <c r="N242" s="51">
        <f t="shared" si="27"/>
        <v>0</v>
      </c>
      <c r="P242" s="51">
        <f t="shared" si="28"/>
        <v>503.74469097690479</v>
      </c>
      <c r="Q242" s="63">
        <f>-PV(BondCalculator!$B$9/12,B242,0,1,0)</f>
        <v>0.30360662229329205</v>
      </c>
      <c r="S242" s="64">
        <f t="shared" si="29"/>
        <v>152.94022412567625</v>
      </c>
    </row>
    <row r="243" spans="1:19" ht="16.05" customHeight="1" x14ac:dyDescent="0.25">
      <c r="A243" s="61" t="s">
        <v>113</v>
      </c>
      <c r="B243" s="72">
        <v>240</v>
      </c>
      <c r="C243" s="12">
        <f t="shared" si="35"/>
        <v>26407.667309441145</v>
      </c>
      <c r="D243" s="12">
        <f>IF(G242=0,0,IF(G242&lt;BondCalculator!$B$12,G242+E243,BondCalculator!$B$12))</f>
        <v>26660.740787823288</v>
      </c>
      <c r="E243" s="12">
        <f>C243*BondCalculator!$B$5/12</f>
        <v>253.07347838214432</v>
      </c>
      <c r="F243" s="12">
        <f t="shared" si="30"/>
        <v>26407.667309441145</v>
      </c>
      <c r="G243" s="12">
        <f t="shared" si="31"/>
        <v>0</v>
      </c>
      <c r="H243" s="22">
        <f t="shared" si="32"/>
        <v>0</v>
      </c>
      <c r="J243" s="51">
        <f t="shared" si="33"/>
        <v>0</v>
      </c>
      <c r="K243" s="51">
        <f>IF(N242=0,0,IF(N242&lt;BondCalculator!$B$12+BondCalculator!$B$7,N242+L243,BondCalculator!$B$12+BondCalculator!$B$7))</f>
        <v>0</v>
      </c>
      <c r="L243" s="51">
        <f>J243*BondCalculator!$B$5/12</f>
        <v>0</v>
      </c>
      <c r="M243" s="51">
        <f t="shared" si="34"/>
        <v>0</v>
      </c>
      <c r="N243" s="51">
        <f t="shared" si="27"/>
        <v>0</v>
      </c>
      <c r="P243" s="51">
        <f t="shared" si="28"/>
        <v>253.07347838214432</v>
      </c>
      <c r="Q243" s="63">
        <f>-PV(BondCalculator!$B$9/12,B243,0,1,0)</f>
        <v>0.30209614158536524</v>
      </c>
      <c r="S243" s="64">
        <f t="shared" si="29"/>
        <v>76.452521356833145</v>
      </c>
    </row>
    <row r="244" spans="1:19" ht="16.05" customHeight="1" x14ac:dyDescent="0.25">
      <c r="A244" s="61" t="s">
        <v>115</v>
      </c>
      <c r="B244" s="72">
        <v>241</v>
      </c>
      <c r="C244" s="12">
        <f t="shared" si="35"/>
        <v>0</v>
      </c>
      <c r="D244" s="12">
        <f>IF(G243=0,0,IF(G243&lt;BondCalculator!$B$12,G243+E244,BondCalculator!$B$12))</f>
        <v>0</v>
      </c>
      <c r="E244" s="12">
        <f>C244*BondCalculator!$B$5/12</f>
        <v>0</v>
      </c>
      <c r="F244" s="12">
        <f t="shared" ref="F244:F307" si="36">D244-E244</f>
        <v>0</v>
      </c>
      <c r="G244" s="12">
        <f t="shared" si="31"/>
        <v>0</v>
      </c>
      <c r="H244" s="22">
        <f t="shared" si="32"/>
        <v>0</v>
      </c>
      <c r="J244" s="51">
        <f t="shared" ref="J244:J307" si="37">IF(ROUND(N243,0)&gt;0,N243,0)</f>
        <v>0</v>
      </c>
      <c r="K244" s="51">
        <f>IF(N243=0,0,IF(N243&lt;BondCalculator!$B$12+BondCalculator!$B$7,N243+L244,BondCalculator!$B$12+BondCalculator!$B$7))</f>
        <v>0</v>
      </c>
      <c r="L244" s="51">
        <f>J244*BondCalculator!$B$5/12</f>
        <v>0</v>
      </c>
      <c r="M244" s="51">
        <f t="shared" ref="M244:M307" si="38">IF(K244-L244&gt;N243,N243,K244-L244)</f>
        <v>0</v>
      </c>
      <c r="N244" s="51">
        <f t="shared" ref="N244:N307" si="39">J244-M244</f>
        <v>0</v>
      </c>
      <c r="P244" s="51">
        <f t="shared" ref="P244:P307" si="40">E244-L244</f>
        <v>0</v>
      </c>
      <c r="Q244" s="63">
        <f>-PV(BondCalculator!$B$9/12,B244,0,1,0)</f>
        <v>0.30059317570683103</v>
      </c>
      <c r="S244" s="64">
        <f t="shared" si="29"/>
        <v>0</v>
      </c>
    </row>
    <row r="245" spans="1:19" ht="16.05" customHeight="1" x14ac:dyDescent="0.25">
      <c r="A245" s="61" t="s">
        <v>115</v>
      </c>
      <c r="B245" s="72">
        <v>242</v>
      </c>
      <c r="C245" s="12">
        <f t="shared" si="35"/>
        <v>0</v>
      </c>
      <c r="D245" s="12">
        <f>IF(G244=0,0,IF(G244&lt;BondCalculator!$B$12,G244+E245,BondCalculator!$B$12))</f>
        <v>0</v>
      </c>
      <c r="E245" s="12">
        <f>C245*BondCalculator!$B$5/12</f>
        <v>0</v>
      </c>
      <c r="F245" s="12">
        <f t="shared" si="36"/>
        <v>0</v>
      </c>
      <c r="G245" s="12">
        <f t="shared" si="31"/>
        <v>0</v>
      </c>
      <c r="H245" s="22">
        <f t="shared" si="32"/>
        <v>0</v>
      </c>
      <c r="J245" s="51">
        <f t="shared" si="37"/>
        <v>0</v>
      </c>
      <c r="K245" s="51">
        <f>IF(N244=0,0,IF(N244&lt;BondCalculator!$B$12+BondCalculator!$B$7,N244+L245,BondCalculator!$B$12+BondCalculator!$B$7))</f>
        <v>0</v>
      </c>
      <c r="L245" s="51">
        <f>J245*BondCalculator!$B$5/12</f>
        <v>0</v>
      </c>
      <c r="M245" s="51">
        <f t="shared" si="38"/>
        <v>0</v>
      </c>
      <c r="N245" s="51">
        <f t="shared" si="39"/>
        <v>0</v>
      </c>
      <c r="P245" s="51">
        <f t="shared" si="40"/>
        <v>0</v>
      </c>
      <c r="Q245" s="63">
        <f>-PV(BondCalculator!$B$9/12,B245,0,1,0)</f>
        <v>0.29909768727047881</v>
      </c>
      <c r="S245" s="64">
        <f t="shared" si="29"/>
        <v>0</v>
      </c>
    </row>
    <row r="246" spans="1:19" ht="16.05" customHeight="1" x14ac:dyDescent="0.25">
      <c r="A246" s="61" t="s">
        <v>115</v>
      </c>
      <c r="B246" s="72">
        <v>243</v>
      </c>
      <c r="C246" s="12">
        <f t="shared" si="35"/>
        <v>0</v>
      </c>
      <c r="D246" s="12">
        <f>IF(G245=0,0,IF(G245&lt;BondCalculator!$B$12,G245+E246,BondCalculator!$B$12))</f>
        <v>0</v>
      </c>
      <c r="E246" s="12">
        <f>C246*BondCalculator!$B$5/12</f>
        <v>0</v>
      </c>
      <c r="F246" s="12">
        <f t="shared" si="36"/>
        <v>0</v>
      </c>
      <c r="G246" s="12">
        <f t="shared" si="31"/>
        <v>0</v>
      </c>
      <c r="H246" s="22">
        <f t="shared" si="32"/>
        <v>0</v>
      </c>
      <c r="J246" s="51">
        <f t="shared" si="37"/>
        <v>0</v>
      </c>
      <c r="K246" s="51">
        <f>IF(N245=0,0,IF(N245&lt;BondCalculator!$B$12+BondCalculator!$B$7,N245+L246,BondCalculator!$B$12+BondCalculator!$B$7))</f>
        <v>0</v>
      </c>
      <c r="L246" s="51">
        <f>J246*BondCalculator!$B$5/12</f>
        <v>0</v>
      </c>
      <c r="M246" s="51">
        <f t="shared" si="38"/>
        <v>0</v>
      </c>
      <c r="N246" s="51">
        <f t="shared" si="39"/>
        <v>0</v>
      </c>
      <c r="P246" s="51">
        <f t="shared" si="40"/>
        <v>0</v>
      </c>
      <c r="Q246" s="63">
        <f>-PV(BondCalculator!$B$9/12,B246,0,1,0)</f>
        <v>0.29760963907510324</v>
      </c>
      <c r="S246" s="64">
        <f t="shared" si="29"/>
        <v>0</v>
      </c>
    </row>
    <row r="247" spans="1:19" ht="16.05" customHeight="1" x14ac:dyDescent="0.25">
      <c r="A247" s="61" t="s">
        <v>115</v>
      </c>
      <c r="B247" s="72">
        <v>244</v>
      </c>
      <c r="C247" s="12">
        <f t="shared" si="35"/>
        <v>0</v>
      </c>
      <c r="D247" s="12">
        <f>IF(G246=0,0,IF(G246&lt;BondCalculator!$B$12,G246+E247,BondCalculator!$B$12))</f>
        <v>0</v>
      </c>
      <c r="E247" s="12">
        <f>C247*BondCalculator!$B$5/12</f>
        <v>0</v>
      </c>
      <c r="F247" s="12">
        <f t="shared" si="36"/>
        <v>0</v>
      </c>
      <c r="G247" s="12">
        <f t="shared" si="31"/>
        <v>0</v>
      </c>
      <c r="H247" s="22">
        <f t="shared" si="32"/>
        <v>0</v>
      </c>
      <c r="J247" s="51">
        <f t="shared" si="37"/>
        <v>0</v>
      </c>
      <c r="K247" s="51">
        <f>IF(N246=0,0,IF(N246&lt;BondCalculator!$B$12+BondCalculator!$B$7,N246+L247,BondCalculator!$B$12+BondCalculator!$B$7))</f>
        <v>0</v>
      </c>
      <c r="L247" s="51">
        <f>J247*BondCalculator!$B$5/12</f>
        <v>0</v>
      </c>
      <c r="M247" s="51">
        <f t="shared" si="38"/>
        <v>0</v>
      </c>
      <c r="N247" s="51">
        <f t="shared" si="39"/>
        <v>0</v>
      </c>
      <c r="P247" s="51">
        <f t="shared" si="40"/>
        <v>0</v>
      </c>
      <c r="Q247" s="63">
        <f>-PV(BondCalculator!$B$9/12,B247,0,1,0)</f>
        <v>0.29612899410458043</v>
      </c>
      <c r="S247" s="64">
        <f t="shared" si="29"/>
        <v>0</v>
      </c>
    </row>
    <row r="248" spans="1:19" ht="16.05" customHeight="1" x14ac:dyDescent="0.25">
      <c r="A248" s="61" t="s">
        <v>115</v>
      </c>
      <c r="B248" s="72">
        <v>245</v>
      </c>
      <c r="C248" s="12">
        <f t="shared" si="35"/>
        <v>0</v>
      </c>
      <c r="D248" s="12">
        <f>IF(G247=0,0,IF(G247&lt;BondCalculator!$B$12,G247+E248,BondCalculator!$B$12))</f>
        <v>0</v>
      </c>
      <c r="E248" s="12">
        <f>C248*BondCalculator!$B$5/12</f>
        <v>0</v>
      </c>
      <c r="F248" s="12">
        <f t="shared" si="36"/>
        <v>0</v>
      </c>
      <c r="G248" s="12">
        <f t="shared" si="31"/>
        <v>0</v>
      </c>
      <c r="H248" s="22">
        <f t="shared" si="32"/>
        <v>0</v>
      </c>
      <c r="J248" s="51">
        <f t="shared" si="37"/>
        <v>0</v>
      </c>
      <c r="K248" s="51">
        <f>IF(N247=0,0,IF(N247&lt;BondCalculator!$B$12+BondCalculator!$B$7,N247+L248,BondCalculator!$B$12+BondCalculator!$B$7))</f>
        <v>0</v>
      </c>
      <c r="L248" s="51">
        <f>J248*BondCalculator!$B$5/12</f>
        <v>0</v>
      </c>
      <c r="M248" s="51">
        <f t="shared" si="38"/>
        <v>0</v>
      </c>
      <c r="N248" s="51">
        <f t="shared" si="39"/>
        <v>0</v>
      </c>
      <c r="P248" s="51">
        <f t="shared" si="40"/>
        <v>0</v>
      </c>
      <c r="Q248" s="63">
        <f>-PV(BondCalculator!$B$9/12,B248,0,1,0)</f>
        <v>0.29465571552694575</v>
      </c>
      <c r="S248" s="64">
        <f t="shared" si="29"/>
        <v>0</v>
      </c>
    </row>
    <row r="249" spans="1:19" ht="16.05" customHeight="1" x14ac:dyDescent="0.25">
      <c r="A249" s="61" t="s">
        <v>115</v>
      </c>
      <c r="B249" s="72">
        <v>246</v>
      </c>
      <c r="C249" s="12">
        <f t="shared" si="35"/>
        <v>0</v>
      </c>
      <c r="D249" s="12">
        <f>IF(G248=0,0,IF(G248&lt;BondCalculator!$B$12,G248+E249,BondCalculator!$B$12))</f>
        <v>0</v>
      </c>
      <c r="E249" s="12">
        <f>C249*BondCalculator!$B$5/12</f>
        <v>0</v>
      </c>
      <c r="F249" s="12">
        <f t="shared" si="36"/>
        <v>0</v>
      </c>
      <c r="G249" s="12">
        <f t="shared" si="31"/>
        <v>0</v>
      </c>
      <c r="H249" s="22">
        <f t="shared" si="32"/>
        <v>0</v>
      </c>
      <c r="J249" s="51">
        <f t="shared" si="37"/>
        <v>0</v>
      </c>
      <c r="K249" s="51">
        <f>IF(N248=0,0,IF(N248&lt;BondCalculator!$B$12+BondCalculator!$B$7,N248+L249,BondCalculator!$B$12+BondCalculator!$B$7))</f>
        <v>0</v>
      </c>
      <c r="L249" s="51">
        <f>J249*BondCalculator!$B$5/12</f>
        <v>0</v>
      </c>
      <c r="M249" s="51">
        <f t="shared" si="38"/>
        <v>0</v>
      </c>
      <c r="N249" s="51">
        <f t="shared" si="39"/>
        <v>0</v>
      </c>
      <c r="P249" s="51">
        <f t="shared" si="40"/>
        <v>0</v>
      </c>
      <c r="Q249" s="63">
        <f>-PV(BondCalculator!$B$9/12,B249,0,1,0)</f>
        <v>0.29318976669347846</v>
      </c>
      <c r="S249" s="64">
        <f t="shared" si="29"/>
        <v>0</v>
      </c>
    </row>
    <row r="250" spans="1:19" ht="16.05" customHeight="1" x14ac:dyDescent="0.25">
      <c r="A250" s="61" t="s">
        <v>115</v>
      </c>
      <c r="B250" s="72">
        <v>247</v>
      </c>
      <c r="C250" s="12">
        <f t="shared" si="35"/>
        <v>0</v>
      </c>
      <c r="D250" s="12">
        <f>IF(G249=0,0,IF(G249&lt;BondCalculator!$B$12,G249+E250,BondCalculator!$B$12))</f>
        <v>0</v>
      </c>
      <c r="E250" s="12">
        <f>C250*BondCalculator!$B$5/12</f>
        <v>0</v>
      </c>
      <c r="F250" s="12">
        <f t="shared" si="36"/>
        <v>0</v>
      </c>
      <c r="G250" s="12">
        <f t="shared" si="31"/>
        <v>0</v>
      </c>
      <c r="H250" s="22">
        <f t="shared" si="32"/>
        <v>0</v>
      </c>
      <c r="J250" s="51">
        <f t="shared" si="37"/>
        <v>0</v>
      </c>
      <c r="K250" s="51">
        <f>IF(N249=0,0,IF(N249&lt;BondCalculator!$B$12+BondCalculator!$B$7,N249+L250,BondCalculator!$B$12+BondCalculator!$B$7))</f>
        <v>0</v>
      </c>
      <c r="L250" s="51">
        <f>J250*BondCalculator!$B$5/12</f>
        <v>0</v>
      </c>
      <c r="M250" s="51">
        <f t="shared" si="38"/>
        <v>0</v>
      </c>
      <c r="N250" s="51">
        <f t="shared" si="39"/>
        <v>0</v>
      </c>
      <c r="P250" s="51">
        <f t="shared" si="40"/>
        <v>0</v>
      </c>
      <c r="Q250" s="63">
        <f>-PV(BondCalculator!$B$9/12,B250,0,1,0)</f>
        <v>0.29173111113778949</v>
      </c>
      <c r="S250" s="64">
        <f t="shared" si="29"/>
        <v>0</v>
      </c>
    </row>
    <row r="251" spans="1:19" ht="16.05" customHeight="1" x14ac:dyDescent="0.25">
      <c r="A251" s="61" t="s">
        <v>115</v>
      </c>
      <c r="B251" s="72">
        <v>248</v>
      </c>
      <c r="C251" s="12">
        <f t="shared" si="35"/>
        <v>0</v>
      </c>
      <c r="D251" s="12">
        <f>IF(G250=0,0,IF(G250&lt;BondCalculator!$B$12,G250+E251,BondCalculator!$B$12))</f>
        <v>0</v>
      </c>
      <c r="E251" s="12">
        <f>C251*BondCalculator!$B$5/12</f>
        <v>0</v>
      </c>
      <c r="F251" s="12">
        <f t="shared" si="36"/>
        <v>0</v>
      </c>
      <c r="G251" s="12">
        <f t="shared" si="31"/>
        <v>0</v>
      </c>
      <c r="H251" s="22">
        <f t="shared" si="32"/>
        <v>0</v>
      </c>
      <c r="J251" s="51">
        <f t="shared" si="37"/>
        <v>0</v>
      </c>
      <c r="K251" s="51">
        <f>IF(N250=0,0,IF(N250&lt;BondCalculator!$B$12+BondCalculator!$B$7,N250+L251,BondCalculator!$B$12+BondCalculator!$B$7))</f>
        <v>0</v>
      </c>
      <c r="L251" s="51">
        <f>J251*BondCalculator!$B$5/12</f>
        <v>0</v>
      </c>
      <c r="M251" s="51">
        <f t="shared" si="38"/>
        <v>0</v>
      </c>
      <c r="N251" s="51">
        <f t="shared" si="39"/>
        <v>0</v>
      </c>
      <c r="P251" s="51">
        <f t="shared" si="40"/>
        <v>0</v>
      </c>
      <c r="Q251" s="63">
        <f>-PV(BondCalculator!$B$9/12,B251,0,1,0)</f>
        <v>0.29027971257491492</v>
      </c>
      <c r="S251" s="64">
        <f t="shared" si="29"/>
        <v>0</v>
      </c>
    </row>
    <row r="252" spans="1:19" ht="16.05" customHeight="1" x14ac:dyDescent="0.25">
      <c r="A252" s="61" t="s">
        <v>115</v>
      </c>
      <c r="B252" s="72">
        <v>249</v>
      </c>
      <c r="C252" s="12">
        <f t="shared" si="35"/>
        <v>0</v>
      </c>
      <c r="D252" s="12">
        <f>IF(G251=0,0,IF(G251&lt;BondCalculator!$B$12,G251+E252,BondCalculator!$B$12))</f>
        <v>0</v>
      </c>
      <c r="E252" s="12">
        <f>C252*BondCalculator!$B$5/12</f>
        <v>0</v>
      </c>
      <c r="F252" s="12">
        <f t="shared" si="36"/>
        <v>0</v>
      </c>
      <c r="G252" s="12">
        <f t="shared" si="31"/>
        <v>0</v>
      </c>
      <c r="H252" s="22">
        <f t="shared" si="32"/>
        <v>0</v>
      </c>
      <c r="J252" s="51">
        <f t="shared" si="37"/>
        <v>0</v>
      </c>
      <c r="K252" s="51">
        <f>IF(N251=0,0,IF(N251&lt;BondCalculator!$B$12+BondCalculator!$B$7,N251+L252,BondCalculator!$B$12+BondCalculator!$B$7))</f>
        <v>0</v>
      </c>
      <c r="L252" s="51">
        <f>J252*BondCalculator!$B$5/12</f>
        <v>0</v>
      </c>
      <c r="M252" s="51">
        <f t="shared" si="38"/>
        <v>0</v>
      </c>
      <c r="N252" s="51">
        <f t="shared" si="39"/>
        <v>0</v>
      </c>
      <c r="P252" s="51">
        <f t="shared" si="40"/>
        <v>0</v>
      </c>
      <c r="Q252" s="63">
        <f>-PV(BondCalculator!$B$9/12,B252,0,1,0)</f>
        <v>0.28883553490041292</v>
      </c>
      <c r="S252" s="64">
        <f t="shared" si="29"/>
        <v>0</v>
      </c>
    </row>
    <row r="253" spans="1:19" ht="16.05" customHeight="1" x14ac:dyDescent="0.25">
      <c r="A253" s="61" t="s">
        <v>115</v>
      </c>
      <c r="B253" s="72">
        <v>250</v>
      </c>
      <c r="C253" s="12">
        <f t="shared" si="35"/>
        <v>0</v>
      </c>
      <c r="D253" s="12">
        <f>IF(G252=0,0,IF(G252&lt;BondCalculator!$B$12,G252+E253,BondCalculator!$B$12))</f>
        <v>0</v>
      </c>
      <c r="E253" s="12">
        <f>C253*BondCalculator!$B$5/12</f>
        <v>0</v>
      </c>
      <c r="F253" s="12">
        <f t="shared" si="36"/>
        <v>0</v>
      </c>
      <c r="G253" s="12">
        <f t="shared" si="31"/>
        <v>0</v>
      </c>
      <c r="H253" s="22">
        <f t="shared" si="32"/>
        <v>0</v>
      </c>
      <c r="J253" s="51">
        <f t="shared" si="37"/>
        <v>0</v>
      </c>
      <c r="K253" s="51">
        <f>IF(N252=0,0,IF(N252&lt;BondCalculator!$B$12+BondCalculator!$B$7,N252+L253,BondCalculator!$B$12+BondCalculator!$B$7))</f>
        <v>0</v>
      </c>
      <c r="L253" s="51">
        <f>J253*BondCalculator!$B$5/12</f>
        <v>0</v>
      </c>
      <c r="M253" s="51">
        <f t="shared" si="38"/>
        <v>0</v>
      </c>
      <c r="N253" s="51">
        <f t="shared" si="39"/>
        <v>0</v>
      </c>
      <c r="P253" s="51">
        <f t="shared" si="40"/>
        <v>0</v>
      </c>
      <c r="Q253" s="63">
        <f>-PV(BondCalculator!$B$9/12,B253,0,1,0)</f>
        <v>0.28739854218946559</v>
      </c>
      <c r="S253" s="64">
        <f t="shared" si="29"/>
        <v>0</v>
      </c>
    </row>
    <row r="254" spans="1:19" ht="16.05" customHeight="1" x14ac:dyDescent="0.25">
      <c r="A254" s="61" t="s">
        <v>115</v>
      </c>
      <c r="B254" s="72">
        <v>251</v>
      </c>
      <c r="C254" s="12">
        <f t="shared" si="35"/>
        <v>0</v>
      </c>
      <c r="D254" s="12">
        <f>IF(G253=0,0,IF(G253&lt;BondCalculator!$B$12,G253+E254,BondCalculator!$B$12))</f>
        <v>0</v>
      </c>
      <c r="E254" s="12">
        <f>C254*BondCalculator!$B$5/12</f>
        <v>0</v>
      </c>
      <c r="F254" s="12">
        <f t="shared" si="36"/>
        <v>0</v>
      </c>
      <c r="G254" s="12">
        <f t="shared" si="31"/>
        <v>0</v>
      </c>
      <c r="H254" s="22">
        <f t="shared" si="32"/>
        <v>0</v>
      </c>
      <c r="J254" s="51">
        <f t="shared" si="37"/>
        <v>0</v>
      </c>
      <c r="K254" s="51">
        <f>IF(N253=0,0,IF(N253&lt;BondCalculator!$B$12+BondCalculator!$B$7,N253+L254,BondCalculator!$B$12+BondCalculator!$B$7))</f>
        <v>0</v>
      </c>
      <c r="L254" s="51">
        <f>J254*BondCalculator!$B$5/12</f>
        <v>0</v>
      </c>
      <c r="M254" s="51">
        <f t="shared" si="38"/>
        <v>0</v>
      </c>
      <c r="N254" s="51">
        <f t="shared" si="39"/>
        <v>0</v>
      </c>
      <c r="P254" s="51">
        <f t="shared" si="40"/>
        <v>0</v>
      </c>
      <c r="Q254" s="63">
        <f>-PV(BondCalculator!$B$9/12,B254,0,1,0)</f>
        <v>0.28596869869598579</v>
      </c>
      <c r="S254" s="64">
        <f t="shared" si="29"/>
        <v>0</v>
      </c>
    </row>
    <row r="255" spans="1:19" ht="16.05" customHeight="1" x14ac:dyDescent="0.25">
      <c r="A255" s="61" t="s">
        <v>115</v>
      </c>
      <c r="B255" s="72">
        <v>252</v>
      </c>
      <c r="C255" s="12">
        <f t="shared" si="35"/>
        <v>0</v>
      </c>
      <c r="D255" s="12">
        <f>IF(G254=0,0,IF(G254&lt;BondCalculator!$B$12,G254+E255,BondCalculator!$B$12))</f>
        <v>0</v>
      </c>
      <c r="E255" s="12">
        <f>C255*BondCalculator!$B$5/12</f>
        <v>0</v>
      </c>
      <c r="F255" s="12">
        <f t="shared" si="36"/>
        <v>0</v>
      </c>
      <c r="G255" s="12">
        <f t="shared" si="31"/>
        <v>0</v>
      </c>
      <c r="H255" s="22">
        <f t="shared" si="32"/>
        <v>0</v>
      </c>
      <c r="J255" s="51">
        <f t="shared" si="37"/>
        <v>0</v>
      </c>
      <c r="K255" s="51">
        <f>IF(N254=0,0,IF(N254&lt;BondCalculator!$B$12+BondCalculator!$B$7,N254+L255,BondCalculator!$B$12+BondCalculator!$B$7))</f>
        <v>0</v>
      </c>
      <c r="L255" s="51">
        <f>J255*BondCalculator!$B$5/12</f>
        <v>0</v>
      </c>
      <c r="M255" s="51">
        <f t="shared" si="38"/>
        <v>0</v>
      </c>
      <c r="N255" s="51">
        <f t="shared" si="39"/>
        <v>0</v>
      </c>
      <c r="P255" s="51">
        <f t="shared" si="40"/>
        <v>0</v>
      </c>
      <c r="Q255" s="63">
        <f>-PV(BondCalculator!$B$9/12,B255,0,1,0)</f>
        <v>0.28454596885172717</v>
      </c>
      <c r="S255" s="64">
        <f t="shared" si="29"/>
        <v>0</v>
      </c>
    </row>
    <row r="256" spans="1:19" ht="16.05" customHeight="1" x14ac:dyDescent="0.25">
      <c r="A256" s="61" t="s">
        <v>116</v>
      </c>
      <c r="B256" s="72">
        <v>253</v>
      </c>
      <c r="C256" s="12">
        <f t="shared" si="35"/>
        <v>0</v>
      </c>
      <c r="D256" s="12">
        <f>IF(G255=0,0,IF(G255&lt;BondCalculator!$B$12,G255+E256,BondCalculator!$B$12))</f>
        <v>0</v>
      </c>
      <c r="E256" s="12">
        <f>C256*BondCalculator!$B$5/12</f>
        <v>0</v>
      </c>
      <c r="F256" s="12">
        <f t="shared" si="36"/>
        <v>0</v>
      </c>
      <c r="G256" s="12">
        <f t="shared" si="31"/>
        <v>0</v>
      </c>
      <c r="H256" s="22">
        <f t="shared" si="32"/>
        <v>0</v>
      </c>
      <c r="J256" s="51">
        <f t="shared" si="37"/>
        <v>0</v>
      </c>
      <c r="K256" s="51">
        <f>IF(N255=0,0,IF(N255&lt;BondCalculator!$B$12+BondCalculator!$B$7,N255+L256,BondCalculator!$B$12+BondCalculator!$B$7))</f>
        <v>0</v>
      </c>
      <c r="L256" s="51">
        <f>J256*BondCalculator!$B$5/12</f>
        <v>0</v>
      </c>
      <c r="M256" s="51">
        <f t="shared" si="38"/>
        <v>0</v>
      </c>
      <c r="N256" s="51">
        <f t="shared" si="39"/>
        <v>0</v>
      </c>
      <c r="P256" s="51">
        <f t="shared" si="40"/>
        <v>0</v>
      </c>
      <c r="Q256" s="63">
        <f>-PV(BondCalculator!$B$9/12,B256,0,1,0)</f>
        <v>0.28313031726540017</v>
      </c>
      <c r="S256" s="64">
        <f t="shared" si="29"/>
        <v>0</v>
      </c>
    </row>
    <row r="257" spans="1:19" ht="16.05" customHeight="1" x14ac:dyDescent="0.25">
      <c r="A257" s="61" t="s">
        <v>116</v>
      </c>
      <c r="B257" s="72">
        <v>254</v>
      </c>
      <c r="C257" s="12">
        <f t="shared" si="35"/>
        <v>0</v>
      </c>
      <c r="D257" s="12">
        <f>IF(G256=0,0,IF(G256&lt;BondCalculator!$B$12,G256+E257,BondCalculator!$B$12))</f>
        <v>0</v>
      </c>
      <c r="E257" s="12">
        <f>C257*BondCalculator!$B$5/12</f>
        <v>0</v>
      </c>
      <c r="F257" s="12">
        <f t="shared" si="36"/>
        <v>0</v>
      </c>
      <c r="G257" s="12">
        <f t="shared" si="31"/>
        <v>0</v>
      </c>
      <c r="H257" s="22">
        <f t="shared" si="32"/>
        <v>0</v>
      </c>
      <c r="J257" s="51">
        <f t="shared" si="37"/>
        <v>0</v>
      </c>
      <c r="K257" s="51">
        <f>IF(N256=0,0,IF(N256&lt;BondCalculator!$B$12+BondCalculator!$B$7,N256+L257,BondCalculator!$B$12+BondCalculator!$B$7))</f>
        <v>0</v>
      </c>
      <c r="L257" s="51">
        <f>J257*BondCalculator!$B$5/12</f>
        <v>0</v>
      </c>
      <c r="M257" s="51">
        <f t="shared" si="38"/>
        <v>0</v>
      </c>
      <c r="N257" s="51">
        <f t="shared" si="39"/>
        <v>0</v>
      </c>
      <c r="P257" s="51">
        <f t="shared" si="40"/>
        <v>0</v>
      </c>
      <c r="Q257" s="63">
        <f>-PV(BondCalculator!$B$9/12,B257,0,1,0)</f>
        <v>0.28172170872179125</v>
      </c>
      <c r="S257" s="64">
        <f t="shared" si="29"/>
        <v>0</v>
      </c>
    </row>
    <row r="258" spans="1:19" ht="16.05" customHeight="1" x14ac:dyDescent="0.25">
      <c r="A258" s="61" t="s">
        <v>116</v>
      </c>
      <c r="B258" s="72">
        <v>255</v>
      </c>
      <c r="C258" s="12">
        <f t="shared" si="35"/>
        <v>0</v>
      </c>
      <c r="D258" s="12">
        <f>IF(G257=0,0,IF(G257&lt;BondCalculator!$B$12,G257+E258,BondCalculator!$B$12))</f>
        <v>0</v>
      </c>
      <c r="E258" s="12">
        <f>C258*BondCalculator!$B$5/12</f>
        <v>0</v>
      </c>
      <c r="F258" s="12">
        <f t="shared" si="36"/>
        <v>0</v>
      </c>
      <c r="G258" s="12">
        <f t="shared" si="31"/>
        <v>0</v>
      </c>
      <c r="H258" s="22">
        <f t="shared" si="32"/>
        <v>0</v>
      </c>
      <c r="J258" s="51">
        <f t="shared" si="37"/>
        <v>0</v>
      </c>
      <c r="K258" s="51">
        <f>IF(N257=0,0,IF(N257&lt;BondCalculator!$B$12+BondCalculator!$B$7,N257+L258,BondCalculator!$B$12+BondCalculator!$B$7))</f>
        <v>0</v>
      </c>
      <c r="L258" s="51">
        <f>J258*BondCalculator!$B$5/12</f>
        <v>0</v>
      </c>
      <c r="M258" s="51">
        <f t="shared" si="38"/>
        <v>0</v>
      </c>
      <c r="N258" s="51">
        <f t="shared" si="39"/>
        <v>0</v>
      </c>
      <c r="P258" s="51">
        <f t="shared" si="40"/>
        <v>0</v>
      </c>
      <c r="Q258" s="63">
        <f>-PV(BondCalculator!$B$9/12,B258,0,1,0)</f>
        <v>0.28032010818088693</v>
      </c>
      <c r="S258" s="64">
        <f t="shared" si="29"/>
        <v>0</v>
      </c>
    </row>
    <row r="259" spans="1:19" ht="16.05" customHeight="1" x14ac:dyDescent="0.25">
      <c r="A259" s="61" t="s">
        <v>116</v>
      </c>
      <c r="B259" s="72">
        <v>256</v>
      </c>
      <c r="C259" s="12">
        <f t="shared" si="35"/>
        <v>0</v>
      </c>
      <c r="D259" s="12">
        <f>IF(G258=0,0,IF(G258&lt;BondCalculator!$B$12,G258+E259,BondCalculator!$B$12))</f>
        <v>0</v>
      </c>
      <c r="E259" s="12">
        <f>C259*BondCalculator!$B$5/12</f>
        <v>0</v>
      </c>
      <c r="F259" s="12">
        <f t="shared" si="36"/>
        <v>0</v>
      </c>
      <c r="G259" s="12">
        <f t="shared" si="31"/>
        <v>0</v>
      </c>
      <c r="H259" s="22">
        <f t="shared" si="32"/>
        <v>0</v>
      </c>
      <c r="J259" s="51">
        <f t="shared" si="37"/>
        <v>0</v>
      </c>
      <c r="K259" s="51">
        <f>IF(N258=0,0,IF(N258&lt;BondCalculator!$B$12+BondCalculator!$B$7,N258+L259,BondCalculator!$B$12+BondCalculator!$B$7))</f>
        <v>0</v>
      </c>
      <c r="L259" s="51">
        <f>J259*BondCalculator!$B$5/12</f>
        <v>0</v>
      </c>
      <c r="M259" s="51">
        <f t="shared" si="38"/>
        <v>0</v>
      </c>
      <c r="N259" s="51">
        <f t="shared" si="39"/>
        <v>0</v>
      </c>
      <c r="P259" s="51">
        <f t="shared" si="40"/>
        <v>0</v>
      </c>
      <c r="Q259" s="63">
        <f>-PV(BondCalculator!$B$9/12,B259,0,1,0)</f>
        <v>0.27892548077700197</v>
      </c>
      <c r="S259" s="64">
        <f t="shared" si="29"/>
        <v>0</v>
      </c>
    </row>
    <row r="260" spans="1:19" ht="16.05" customHeight="1" x14ac:dyDescent="0.25">
      <c r="A260" s="61" t="s">
        <v>116</v>
      </c>
      <c r="B260" s="72">
        <v>257</v>
      </c>
      <c r="C260" s="12">
        <f t="shared" si="35"/>
        <v>0</v>
      </c>
      <c r="D260" s="12">
        <f>IF(G259=0,0,IF(G259&lt;BondCalculator!$B$12,G259+E260,BondCalculator!$B$12))</f>
        <v>0</v>
      </c>
      <c r="E260" s="12">
        <f>C260*BondCalculator!$B$5/12</f>
        <v>0</v>
      </c>
      <c r="F260" s="12">
        <f t="shared" si="36"/>
        <v>0</v>
      </c>
      <c r="G260" s="12">
        <f t="shared" si="31"/>
        <v>0</v>
      </c>
      <c r="H260" s="22">
        <f t="shared" si="32"/>
        <v>0</v>
      </c>
      <c r="J260" s="51">
        <f t="shared" si="37"/>
        <v>0</v>
      </c>
      <c r="K260" s="51">
        <f>IF(N259=0,0,IF(N259&lt;BondCalculator!$B$12+BondCalculator!$B$7,N259+L260,BondCalculator!$B$12+BondCalculator!$B$7))</f>
        <v>0</v>
      </c>
      <c r="L260" s="51">
        <f>J260*BondCalculator!$B$5/12</f>
        <v>0</v>
      </c>
      <c r="M260" s="51">
        <f t="shared" si="38"/>
        <v>0</v>
      </c>
      <c r="N260" s="51">
        <f t="shared" si="39"/>
        <v>0</v>
      </c>
      <c r="P260" s="51">
        <f t="shared" si="40"/>
        <v>0</v>
      </c>
      <c r="Q260" s="63">
        <f>-PV(BondCalculator!$B$9/12,B260,0,1,0)</f>
        <v>0.27753779181791238</v>
      </c>
      <c r="S260" s="64">
        <f t="shared" ref="S260:S323" si="41">P260*Q260</f>
        <v>0</v>
      </c>
    </row>
    <row r="261" spans="1:19" ht="16.05" customHeight="1" x14ac:dyDescent="0.25">
      <c r="A261" s="61" t="s">
        <v>116</v>
      </c>
      <c r="B261" s="72">
        <v>258</v>
      </c>
      <c r="C261" s="12">
        <f t="shared" si="35"/>
        <v>0</v>
      </c>
      <c r="D261" s="12">
        <f>IF(G260=0,0,IF(G260&lt;BondCalculator!$B$12,G260+E261,BondCalculator!$B$12))</f>
        <v>0</v>
      </c>
      <c r="E261" s="12">
        <f>C261*BondCalculator!$B$5/12</f>
        <v>0</v>
      </c>
      <c r="F261" s="12">
        <f t="shared" si="36"/>
        <v>0</v>
      </c>
      <c r="G261" s="12">
        <f t="shared" ref="G261:G324" si="42">IF(ROUND(C261-F261,2)=0,0,C261-F261)</f>
        <v>0</v>
      </c>
      <c r="H261" s="22">
        <f t="shared" ref="H261:H324" si="43">IF($C$4=0,0,G261/$C$4)</f>
        <v>0</v>
      </c>
      <c r="J261" s="51">
        <f t="shared" si="37"/>
        <v>0</v>
      </c>
      <c r="K261" s="51">
        <f>IF(N260=0,0,IF(N260&lt;BondCalculator!$B$12+BondCalculator!$B$7,N260+L261,BondCalculator!$B$12+BondCalculator!$B$7))</f>
        <v>0</v>
      </c>
      <c r="L261" s="51">
        <f>J261*BondCalculator!$B$5/12</f>
        <v>0</v>
      </c>
      <c r="M261" s="51">
        <f t="shared" si="38"/>
        <v>0</v>
      </c>
      <c r="N261" s="51">
        <f t="shared" si="39"/>
        <v>0</v>
      </c>
      <c r="P261" s="51">
        <f t="shared" si="40"/>
        <v>0</v>
      </c>
      <c r="Q261" s="63">
        <f>-PV(BondCalculator!$B$9/12,B261,0,1,0)</f>
        <v>0.27615700678399252</v>
      </c>
      <c r="S261" s="64">
        <f t="shared" si="41"/>
        <v>0</v>
      </c>
    </row>
    <row r="262" spans="1:19" ht="16.05" customHeight="1" x14ac:dyDescent="0.25">
      <c r="A262" s="61" t="s">
        <v>116</v>
      </c>
      <c r="B262" s="72">
        <v>259</v>
      </c>
      <c r="C262" s="12">
        <f t="shared" ref="C262:C325" si="44">G261</f>
        <v>0</v>
      </c>
      <c r="D262" s="12">
        <f>IF(G261=0,0,IF(G261&lt;BondCalculator!$B$12,G261+E262,BondCalculator!$B$12))</f>
        <v>0</v>
      </c>
      <c r="E262" s="12">
        <f>C262*BondCalculator!$B$5/12</f>
        <v>0</v>
      </c>
      <c r="F262" s="12">
        <f t="shared" si="36"/>
        <v>0</v>
      </c>
      <c r="G262" s="12">
        <f t="shared" si="42"/>
        <v>0</v>
      </c>
      <c r="H262" s="22">
        <f t="shared" si="43"/>
        <v>0</v>
      </c>
      <c r="J262" s="51">
        <f t="shared" si="37"/>
        <v>0</v>
      </c>
      <c r="K262" s="51">
        <f>IF(N261=0,0,IF(N261&lt;BondCalculator!$B$12+BondCalculator!$B$7,N261+L262,BondCalculator!$B$12+BondCalculator!$B$7))</f>
        <v>0</v>
      </c>
      <c r="L262" s="51">
        <f>J262*BondCalculator!$B$5/12</f>
        <v>0</v>
      </c>
      <c r="M262" s="51">
        <f t="shared" si="38"/>
        <v>0</v>
      </c>
      <c r="N262" s="51">
        <f t="shared" si="39"/>
        <v>0</v>
      </c>
      <c r="P262" s="51">
        <f t="shared" si="40"/>
        <v>0</v>
      </c>
      <c r="Q262" s="63">
        <f>-PV(BondCalculator!$B$9/12,B262,0,1,0)</f>
        <v>0.27478309132735573</v>
      </c>
      <c r="S262" s="64">
        <f t="shared" si="41"/>
        <v>0</v>
      </c>
    </row>
    <row r="263" spans="1:19" ht="16.05" customHeight="1" x14ac:dyDescent="0.25">
      <c r="A263" s="61" t="s">
        <v>116</v>
      </c>
      <c r="B263" s="72">
        <v>260</v>
      </c>
      <c r="C263" s="12">
        <f t="shared" si="44"/>
        <v>0</v>
      </c>
      <c r="D263" s="12">
        <f>IF(G262=0,0,IF(G262&lt;BondCalculator!$B$12,G262+E263,BondCalculator!$B$12))</f>
        <v>0</v>
      </c>
      <c r="E263" s="12">
        <f>C263*BondCalculator!$B$5/12</f>
        <v>0</v>
      </c>
      <c r="F263" s="12">
        <f t="shared" si="36"/>
        <v>0</v>
      </c>
      <c r="G263" s="12">
        <f t="shared" si="42"/>
        <v>0</v>
      </c>
      <c r="H263" s="22">
        <f t="shared" si="43"/>
        <v>0</v>
      </c>
      <c r="J263" s="51">
        <f t="shared" si="37"/>
        <v>0</v>
      </c>
      <c r="K263" s="51">
        <f>IF(N262=0,0,IF(N262&lt;BondCalculator!$B$12+BondCalculator!$B$7,N262+L263,BondCalculator!$B$12+BondCalculator!$B$7))</f>
        <v>0</v>
      </c>
      <c r="L263" s="51">
        <f>J263*BondCalculator!$B$5/12</f>
        <v>0</v>
      </c>
      <c r="M263" s="51">
        <f t="shared" si="38"/>
        <v>0</v>
      </c>
      <c r="N263" s="51">
        <f t="shared" si="39"/>
        <v>0</v>
      </c>
      <c r="P263" s="51">
        <f t="shared" si="40"/>
        <v>0</v>
      </c>
      <c r="Q263" s="63">
        <f>-PV(BondCalculator!$B$9/12,B263,0,1,0)</f>
        <v>0.27341601127100079</v>
      </c>
      <c r="S263" s="64">
        <f t="shared" si="41"/>
        <v>0</v>
      </c>
    </row>
    <row r="264" spans="1:19" ht="16.05" customHeight="1" x14ac:dyDescent="0.25">
      <c r="A264" s="61" t="s">
        <v>116</v>
      </c>
      <c r="B264" s="72">
        <v>261</v>
      </c>
      <c r="C264" s="12">
        <f t="shared" si="44"/>
        <v>0</v>
      </c>
      <c r="D264" s="12">
        <f>IF(G263=0,0,IF(G263&lt;BondCalculator!$B$12,G263+E264,BondCalculator!$B$12))</f>
        <v>0</v>
      </c>
      <c r="E264" s="12">
        <f>C264*BondCalculator!$B$5/12</f>
        <v>0</v>
      </c>
      <c r="F264" s="12">
        <f t="shared" si="36"/>
        <v>0</v>
      </c>
      <c r="G264" s="12">
        <f t="shared" si="42"/>
        <v>0</v>
      </c>
      <c r="H264" s="22">
        <f t="shared" si="43"/>
        <v>0</v>
      </c>
      <c r="J264" s="51">
        <f t="shared" si="37"/>
        <v>0</v>
      </c>
      <c r="K264" s="51">
        <f>IF(N263=0,0,IF(N263&lt;BondCalculator!$B$12+BondCalculator!$B$7,N263+L264,BondCalculator!$B$12+BondCalculator!$B$7))</f>
        <v>0</v>
      </c>
      <c r="L264" s="51">
        <f>J264*BondCalculator!$B$5/12</f>
        <v>0</v>
      </c>
      <c r="M264" s="51">
        <f t="shared" si="38"/>
        <v>0</v>
      </c>
      <c r="N264" s="51">
        <f t="shared" si="39"/>
        <v>0</v>
      </c>
      <c r="P264" s="51">
        <f t="shared" si="40"/>
        <v>0</v>
      </c>
      <c r="Q264" s="63">
        <f>-PV(BondCalculator!$B$9/12,B264,0,1,0)</f>
        <v>0.27205573260796106</v>
      </c>
      <c r="S264" s="64">
        <f t="shared" si="41"/>
        <v>0</v>
      </c>
    </row>
    <row r="265" spans="1:19" ht="16.05" customHeight="1" x14ac:dyDescent="0.25">
      <c r="A265" s="61" t="s">
        <v>116</v>
      </c>
      <c r="B265" s="72">
        <v>262</v>
      </c>
      <c r="C265" s="12">
        <f t="shared" si="44"/>
        <v>0</v>
      </c>
      <c r="D265" s="12">
        <f>IF(G264=0,0,IF(G264&lt;BondCalculator!$B$12,G264+E265,BondCalculator!$B$12))</f>
        <v>0</v>
      </c>
      <c r="E265" s="12">
        <f>C265*BondCalculator!$B$5/12</f>
        <v>0</v>
      </c>
      <c r="F265" s="12">
        <f t="shared" si="36"/>
        <v>0</v>
      </c>
      <c r="G265" s="12">
        <f t="shared" si="42"/>
        <v>0</v>
      </c>
      <c r="H265" s="22">
        <f t="shared" si="43"/>
        <v>0</v>
      </c>
      <c r="J265" s="51">
        <f t="shared" si="37"/>
        <v>0</v>
      </c>
      <c r="K265" s="51">
        <f>IF(N264=0,0,IF(N264&lt;BondCalculator!$B$12+BondCalculator!$B$7,N264+L265,BondCalculator!$B$12+BondCalculator!$B$7))</f>
        <v>0</v>
      </c>
      <c r="L265" s="51">
        <f>J265*BondCalculator!$B$5/12</f>
        <v>0</v>
      </c>
      <c r="M265" s="51">
        <f t="shared" si="38"/>
        <v>0</v>
      </c>
      <c r="N265" s="51">
        <f t="shared" si="39"/>
        <v>0</v>
      </c>
      <c r="P265" s="51">
        <f t="shared" si="40"/>
        <v>0</v>
      </c>
      <c r="Q265" s="63">
        <f>-PV(BondCalculator!$B$9/12,B265,0,1,0)</f>
        <v>0.27070222150045881</v>
      </c>
      <c r="S265" s="64">
        <f t="shared" si="41"/>
        <v>0</v>
      </c>
    </row>
    <row r="266" spans="1:19" ht="16.05" customHeight="1" x14ac:dyDescent="0.25">
      <c r="A266" s="61" t="s">
        <v>116</v>
      </c>
      <c r="B266" s="72">
        <v>263</v>
      </c>
      <c r="C266" s="12">
        <f t="shared" si="44"/>
        <v>0</v>
      </c>
      <c r="D266" s="12">
        <f>IF(G265=0,0,IF(G265&lt;BondCalculator!$B$12,G265+E266,BondCalculator!$B$12))</f>
        <v>0</v>
      </c>
      <c r="E266" s="12">
        <f>C266*BondCalculator!$B$5/12</f>
        <v>0</v>
      </c>
      <c r="F266" s="12">
        <f t="shared" si="36"/>
        <v>0</v>
      </c>
      <c r="G266" s="12">
        <f t="shared" si="42"/>
        <v>0</v>
      </c>
      <c r="H266" s="22">
        <f t="shared" si="43"/>
        <v>0</v>
      </c>
      <c r="J266" s="51">
        <f t="shared" si="37"/>
        <v>0</v>
      </c>
      <c r="K266" s="51">
        <f>IF(N265=0,0,IF(N265&lt;BondCalculator!$B$12+BondCalculator!$B$7,N265+L266,BondCalculator!$B$12+BondCalculator!$B$7))</f>
        <v>0</v>
      </c>
      <c r="L266" s="51">
        <f>J266*BondCalculator!$B$5/12</f>
        <v>0</v>
      </c>
      <c r="M266" s="51">
        <f t="shared" si="38"/>
        <v>0</v>
      </c>
      <c r="N266" s="51">
        <f t="shared" si="39"/>
        <v>0</v>
      </c>
      <c r="P266" s="51">
        <f t="shared" si="40"/>
        <v>0</v>
      </c>
      <c r="Q266" s="63">
        <f>-PV(BondCalculator!$B$9/12,B266,0,1,0)</f>
        <v>0.26935544427906355</v>
      </c>
      <c r="S266" s="64">
        <f t="shared" si="41"/>
        <v>0</v>
      </c>
    </row>
    <row r="267" spans="1:19" ht="16.05" customHeight="1" x14ac:dyDescent="0.25">
      <c r="A267" s="61" t="s">
        <v>116</v>
      </c>
      <c r="B267" s="72">
        <v>264</v>
      </c>
      <c r="C267" s="12">
        <f t="shared" si="44"/>
        <v>0</v>
      </c>
      <c r="D267" s="12">
        <f>IF(G266=0,0,IF(G266&lt;BondCalculator!$B$12,G266+E267,BondCalculator!$B$12))</f>
        <v>0</v>
      </c>
      <c r="E267" s="12">
        <f>C267*BondCalculator!$B$5/12</f>
        <v>0</v>
      </c>
      <c r="F267" s="12">
        <f t="shared" si="36"/>
        <v>0</v>
      </c>
      <c r="G267" s="12">
        <f t="shared" si="42"/>
        <v>0</v>
      </c>
      <c r="H267" s="22">
        <f t="shared" si="43"/>
        <v>0</v>
      </c>
      <c r="J267" s="51">
        <f t="shared" si="37"/>
        <v>0</v>
      </c>
      <c r="K267" s="51">
        <f>IF(N266=0,0,IF(N266&lt;BondCalculator!$B$12+BondCalculator!$B$7,N266+L267,BondCalculator!$B$12+BondCalculator!$B$7))</f>
        <v>0</v>
      </c>
      <c r="L267" s="51">
        <f>J267*BondCalculator!$B$5/12</f>
        <v>0</v>
      </c>
      <c r="M267" s="51">
        <f t="shared" si="38"/>
        <v>0</v>
      </c>
      <c r="N267" s="51">
        <f t="shared" si="39"/>
        <v>0</v>
      </c>
      <c r="P267" s="51">
        <f t="shared" si="40"/>
        <v>0</v>
      </c>
      <c r="Q267" s="63">
        <f>-PV(BondCalculator!$B$9/12,B267,0,1,0)</f>
        <v>0.26801536744185428</v>
      </c>
      <c r="S267" s="64">
        <f t="shared" si="41"/>
        <v>0</v>
      </c>
    </row>
    <row r="268" spans="1:19" ht="16.05" customHeight="1" x14ac:dyDescent="0.25">
      <c r="A268" s="61" t="s">
        <v>117</v>
      </c>
      <c r="B268" s="72">
        <v>265</v>
      </c>
      <c r="C268" s="12">
        <f t="shared" si="44"/>
        <v>0</v>
      </c>
      <c r="D268" s="12">
        <f>IF(G267=0,0,IF(G267&lt;BondCalculator!$B$12,G267+E268,BondCalculator!$B$12))</f>
        <v>0</v>
      </c>
      <c r="E268" s="12">
        <f>C268*BondCalculator!$B$5/12</f>
        <v>0</v>
      </c>
      <c r="F268" s="12">
        <f t="shared" si="36"/>
        <v>0</v>
      </c>
      <c r="G268" s="12">
        <f t="shared" si="42"/>
        <v>0</v>
      </c>
      <c r="H268" s="22">
        <f t="shared" si="43"/>
        <v>0</v>
      </c>
      <c r="J268" s="51">
        <f t="shared" si="37"/>
        <v>0</v>
      </c>
      <c r="K268" s="51">
        <f>IF(N267=0,0,IF(N267&lt;BondCalculator!$B$12+BondCalculator!$B$7,N267+L268,BondCalculator!$B$12+BondCalculator!$B$7))</f>
        <v>0</v>
      </c>
      <c r="L268" s="51">
        <f>J268*BondCalculator!$B$5/12</f>
        <v>0</v>
      </c>
      <c r="M268" s="51">
        <f t="shared" si="38"/>
        <v>0</v>
      </c>
      <c r="N268" s="51">
        <f t="shared" si="39"/>
        <v>0</v>
      </c>
      <c r="P268" s="51">
        <f t="shared" si="40"/>
        <v>0</v>
      </c>
      <c r="Q268" s="63">
        <f>-PV(BondCalculator!$B$9/12,B268,0,1,0)</f>
        <v>0.26668195765358638</v>
      </c>
      <c r="S268" s="64">
        <f t="shared" si="41"/>
        <v>0</v>
      </c>
    </row>
    <row r="269" spans="1:19" ht="16.05" customHeight="1" x14ac:dyDescent="0.25">
      <c r="A269" s="61" t="s">
        <v>117</v>
      </c>
      <c r="B269" s="72">
        <v>266</v>
      </c>
      <c r="C269" s="12">
        <f t="shared" si="44"/>
        <v>0</v>
      </c>
      <c r="D269" s="12">
        <f>IF(G268=0,0,IF(G268&lt;BondCalculator!$B$12,G268+E269,BondCalculator!$B$12))</f>
        <v>0</v>
      </c>
      <c r="E269" s="12">
        <f>C269*BondCalculator!$B$5/12</f>
        <v>0</v>
      </c>
      <c r="F269" s="12">
        <f t="shared" si="36"/>
        <v>0</v>
      </c>
      <c r="G269" s="12">
        <f t="shared" si="42"/>
        <v>0</v>
      </c>
      <c r="H269" s="22">
        <f t="shared" si="43"/>
        <v>0</v>
      </c>
      <c r="J269" s="51">
        <f t="shared" si="37"/>
        <v>0</v>
      </c>
      <c r="K269" s="51">
        <f>IF(N268=0,0,IF(N268&lt;BondCalculator!$B$12+BondCalculator!$B$7,N268+L269,BondCalculator!$B$12+BondCalculator!$B$7))</f>
        <v>0</v>
      </c>
      <c r="L269" s="51">
        <f>J269*BondCalculator!$B$5/12</f>
        <v>0</v>
      </c>
      <c r="M269" s="51">
        <f t="shared" si="38"/>
        <v>0</v>
      </c>
      <c r="N269" s="51">
        <f t="shared" si="39"/>
        <v>0</v>
      </c>
      <c r="P269" s="51">
        <f t="shared" si="40"/>
        <v>0</v>
      </c>
      <c r="Q269" s="63">
        <f>-PV(BondCalculator!$B$9/12,B269,0,1,0)</f>
        <v>0.26535518174486211</v>
      </c>
      <c r="S269" s="64">
        <f t="shared" si="41"/>
        <v>0</v>
      </c>
    </row>
    <row r="270" spans="1:19" ht="16.05" customHeight="1" x14ac:dyDescent="0.25">
      <c r="A270" s="61" t="s">
        <v>117</v>
      </c>
      <c r="B270" s="72">
        <v>267</v>
      </c>
      <c r="C270" s="12">
        <f t="shared" si="44"/>
        <v>0</v>
      </c>
      <c r="D270" s="12">
        <f>IF(G269=0,0,IF(G269&lt;BondCalculator!$B$12,G269+E270,BondCalculator!$B$12))</f>
        <v>0</v>
      </c>
      <c r="E270" s="12">
        <f>C270*BondCalculator!$B$5/12</f>
        <v>0</v>
      </c>
      <c r="F270" s="12">
        <f t="shared" si="36"/>
        <v>0</v>
      </c>
      <c r="G270" s="12">
        <f t="shared" si="42"/>
        <v>0</v>
      </c>
      <c r="H270" s="22">
        <f t="shared" si="43"/>
        <v>0</v>
      </c>
      <c r="J270" s="51">
        <f t="shared" si="37"/>
        <v>0</v>
      </c>
      <c r="K270" s="51">
        <f>IF(N269=0,0,IF(N269&lt;BondCalculator!$B$12+BondCalculator!$B$7,N269+L270,BondCalculator!$B$12+BondCalculator!$B$7))</f>
        <v>0</v>
      </c>
      <c r="L270" s="51">
        <f>J270*BondCalculator!$B$5/12</f>
        <v>0</v>
      </c>
      <c r="M270" s="51">
        <f t="shared" si="38"/>
        <v>0</v>
      </c>
      <c r="N270" s="51">
        <f t="shared" si="39"/>
        <v>0</v>
      </c>
      <c r="P270" s="51">
        <f t="shared" si="40"/>
        <v>0</v>
      </c>
      <c r="Q270" s="63">
        <f>-PV(BondCalculator!$B$9/12,B270,0,1,0)</f>
        <v>0.26403500671130559</v>
      </c>
      <c r="S270" s="64">
        <f t="shared" si="41"/>
        <v>0</v>
      </c>
    </row>
    <row r="271" spans="1:19" ht="16.05" customHeight="1" x14ac:dyDescent="0.25">
      <c r="A271" s="61" t="s">
        <v>117</v>
      </c>
      <c r="B271" s="72">
        <v>268</v>
      </c>
      <c r="C271" s="12">
        <f t="shared" si="44"/>
        <v>0</v>
      </c>
      <c r="D271" s="12">
        <f>IF(G270=0,0,IF(G270&lt;BondCalculator!$B$12,G270+E271,BondCalculator!$B$12))</f>
        <v>0</v>
      </c>
      <c r="E271" s="12">
        <f>C271*BondCalculator!$B$5/12</f>
        <v>0</v>
      </c>
      <c r="F271" s="12">
        <f t="shared" si="36"/>
        <v>0</v>
      </c>
      <c r="G271" s="12">
        <f t="shared" si="42"/>
        <v>0</v>
      </c>
      <c r="H271" s="22">
        <f t="shared" si="43"/>
        <v>0</v>
      </c>
      <c r="J271" s="51">
        <f t="shared" si="37"/>
        <v>0</v>
      </c>
      <c r="K271" s="51">
        <f>IF(N270=0,0,IF(N270&lt;BondCalculator!$B$12+BondCalculator!$B$7,N270+L271,BondCalculator!$B$12+BondCalculator!$B$7))</f>
        <v>0</v>
      </c>
      <c r="L271" s="51">
        <f>J271*BondCalculator!$B$5/12</f>
        <v>0</v>
      </c>
      <c r="M271" s="51">
        <f t="shared" si="38"/>
        <v>0</v>
      </c>
      <c r="N271" s="51">
        <f t="shared" si="39"/>
        <v>0</v>
      </c>
      <c r="P271" s="51">
        <f t="shared" si="40"/>
        <v>0</v>
      </c>
      <c r="Q271" s="63">
        <f>-PV(BondCalculator!$B$9/12,B271,0,1,0)</f>
        <v>0.26272139971274194</v>
      </c>
      <c r="S271" s="64">
        <f t="shared" si="41"/>
        <v>0</v>
      </c>
    </row>
    <row r="272" spans="1:19" ht="16.05" customHeight="1" x14ac:dyDescent="0.25">
      <c r="A272" s="61" t="s">
        <v>117</v>
      </c>
      <c r="B272" s="72">
        <v>269</v>
      </c>
      <c r="C272" s="12">
        <f t="shared" si="44"/>
        <v>0</v>
      </c>
      <c r="D272" s="12">
        <f>IF(G271=0,0,IF(G271&lt;BondCalculator!$B$12,G271+E272,BondCalculator!$B$12))</f>
        <v>0</v>
      </c>
      <c r="E272" s="12">
        <f>C272*BondCalculator!$B$5/12</f>
        <v>0</v>
      </c>
      <c r="F272" s="12">
        <f t="shared" si="36"/>
        <v>0</v>
      </c>
      <c r="G272" s="12">
        <f t="shared" si="42"/>
        <v>0</v>
      </c>
      <c r="H272" s="22">
        <f t="shared" si="43"/>
        <v>0</v>
      </c>
      <c r="J272" s="51">
        <f t="shared" si="37"/>
        <v>0</v>
      </c>
      <c r="K272" s="51">
        <f>IF(N271=0,0,IF(N271&lt;BondCalculator!$B$12+BondCalculator!$B$7,N271+L272,BondCalculator!$B$12+BondCalculator!$B$7))</f>
        <v>0</v>
      </c>
      <c r="L272" s="51">
        <f>J272*BondCalculator!$B$5/12</f>
        <v>0</v>
      </c>
      <c r="M272" s="51">
        <f t="shared" si="38"/>
        <v>0</v>
      </c>
      <c r="N272" s="51">
        <f t="shared" si="39"/>
        <v>0</v>
      </c>
      <c r="P272" s="51">
        <f t="shared" si="40"/>
        <v>0</v>
      </c>
      <c r="Q272" s="63">
        <f>-PV(BondCalculator!$B$9/12,B272,0,1,0)</f>
        <v>0.26141432807238008</v>
      </c>
      <c r="S272" s="64">
        <f t="shared" si="41"/>
        <v>0</v>
      </c>
    </row>
    <row r="273" spans="1:19" ht="16.05" customHeight="1" x14ac:dyDescent="0.25">
      <c r="A273" s="61" t="s">
        <v>117</v>
      </c>
      <c r="B273" s="72">
        <v>270</v>
      </c>
      <c r="C273" s="12">
        <f t="shared" si="44"/>
        <v>0</v>
      </c>
      <c r="D273" s="12">
        <f>IF(G272=0,0,IF(G272&lt;BondCalculator!$B$12,G272+E273,BondCalculator!$B$12))</f>
        <v>0</v>
      </c>
      <c r="E273" s="12">
        <f>C273*BondCalculator!$B$5/12</f>
        <v>0</v>
      </c>
      <c r="F273" s="12">
        <f t="shared" si="36"/>
        <v>0</v>
      </c>
      <c r="G273" s="12">
        <f t="shared" si="42"/>
        <v>0</v>
      </c>
      <c r="H273" s="22">
        <f t="shared" si="43"/>
        <v>0</v>
      </c>
      <c r="J273" s="51">
        <f t="shared" si="37"/>
        <v>0</v>
      </c>
      <c r="K273" s="51">
        <f>IF(N272=0,0,IF(N272&lt;BondCalculator!$B$12+BondCalculator!$B$7,N272+L273,BondCalculator!$B$12+BondCalculator!$B$7))</f>
        <v>0</v>
      </c>
      <c r="L273" s="51">
        <f>J273*BondCalculator!$B$5/12</f>
        <v>0</v>
      </c>
      <c r="M273" s="51">
        <f t="shared" si="38"/>
        <v>0</v>
      </c>
      <c r="N273" s="51">
        <f t="shared" si="39"/>
        <v>0</v>
      </c>
      <c r="P273" s="51">
        <f t="shared" si="40"/>
        <v>0</v>
      </c>
      <c r="Q273" s="63">
        <f>-PV(BondCalculator!$B$9/12,B273,0,1,0)</f>
        <v>0.26011375927600017</v>
      </c>
      <c r="S273" s="64">
        <f t="shared" si="41"/>
        <v>0</v>
      </c>
    </row>
    <row r="274" spans="1:19" ht="16.05" customHeight="1" x14ac:dyDescent="0.25">
      <c r="A274" s="61" t="s">
        <v>117</v>
      </c>
      <c r="B274" s="72">
        <v>271</v>
      </c>
      <c r="C274" s="12">
        <f t="shared" si="44"/>
        <v>0</v>
      </c>
      <c r="D274" s="12">
        <f>IF(G273=0,0,IF(G273&lt;BondCalculator!$B$12,G273+E274,BondCalculator!$B$12))</f>
        <v>0</v>
      </c>
      <c r="E274" s="12">
        <f>C274*BondCalculator!$B$5/12</f>
        <v>0</v>
      </c>
      <c r="F274" s="12">
        <f t="shared" si="36"/>
        <v>0</v>
      </c>
      <c r="G274" s="12">
        <f t="shared" si="42"/>
        <v>0</v>
      </c>
      <c r="H274" s="22">
        <f t="shared" si="43"/>
        <v>0</v>
      </c>
      <c r="J274" s="51">
        <f t="shared" si="37"/>
        <v>0</v>
      </c>
      <c r="K274" s="51">
        <f>IF(N273=0,0,IF(N273&lt;BondCalculator!$B$12+BondCalculator!$B$7,N273+L274,BondCalculator!$B$12+BondCalculator!$B$7))</f>
        <v>0</v>
      </c>
      <c r="L274" s="51">
        <f>J274*BondCalculator!$B$5/12</f>
        <v>0</v>
      </c>
      <c r="M274" s="51">
        <f t="shared" si="38"/>
        <v>0</v>
      </c>
      <c r="N274" s="51">
        <f t="shared" si="39"/>
        <v>0</v>
      </c>
      <c r="P274" s="51">
        <f t="shared" si="40"/>
        <v>0</v>
      </c>
      <c r="Q274" s="63">
        <f>-PV(BondCalculator!$B$9/12,B274,0,1,0)</f>
        <v>0.25881966097114451</v>
      </c>
      <c r="S274" s="64">
        <f t="shared" si="41"/>
        <v>0</v>
      </c>
    </row>
    <row r="275" spans="1:19" ht="16.05" customHeight="1" x14ac:dyDescent="0.25">
      <c r="A275" s="61" t="s">
        <v>117</v>
      </c>
      <c r="B275" s="72">
        <v>272</v>
      </c>
      <c r="C275" s="12">
        <f t="shared" si="44"/>
        <v>0</v>
      </c>
      <c r="D275" s="12">
        <f>IF(G274=0,0,IF(G274&lt;BondCalculator!$B$12,G274+E275,BondCalculator!$B$12))</f>
        <v>0</v>
      </c>
      <c r="E275" s="12">
        <f>C275*BondCalculator!$B$5/12</f>
        <v>0</v>
      </c>
      <c r="F275" s="12">
        <f t="shared" si="36"/>
        <v>0</v>
      </c>
      <c r="G275" s="12">
        <f t="shared" si="42"/>
        <v>0</v>
      </c>
      <c r="H275" s="22">
        <f t="shared" si="43"/>
        <v>0</v>
      </c>
      <c r="J275" s="51">
        <f t="shared" si="37"/>
        <v>0</v>
      </c>
      <c r="K275" s="51">
        <f>IF(N274=0,0,IF(N274&lt;BondCalculator!$B$12+BondCalculator!$B$7,N274+L275,BondCalculator!$B$12+BondCalculator!$B$7))</f>
        <v>0</v>
      </c>
      <c r="L275" s="51">
        <f>J275*BondCalculator!$B$5/12</f>
        <v>0</v>
      </c>
      <c r="M275" s="51">
        <f t="shared" si="38"/>
        <v>0</v>
      </c>
      <c r="N275" s="51">
        <f t="shared" si="39"/>
        <v>0</v>
      </c>
      <c r="P275" s="51">
        <f t="shared" si="40"/>
        <v>0</v>
      </c>
      <c r="Q275" s="63">
        <f>-PV(BondCalculator!$B$9/12,B275,0,1,0)</f>
        <v>0.25753200096631296</v>
      </c>
      <c r="S275" s="64">
        <f t="shared" si="41"/>
        <v>0</v>
      </c>
    </row>
    <row r="276" spans="1:19" ht="16.05" customHeight="1" x14ac:dyDescent="0.25">
      <c r="A276" s="61" t="s">
        <v>117</v>
      </c>
      <c r="B276" s="72">
        <v>273</v>
      </c>
      <c r="C276" s="12">
        <f t="shared" si="44"/>
        <v>0</v>
      </c>
      <c r="D276" s="12">
        <f>IF(G275=0,0,IF(G275&lt;BondCalculator!$B$12,G275+E276,BondCalculator!$B$12))</f>
        <v>0</v>
      </c>
      <c r="E276" s="12">
        <f>C276*BondCalculator!$B$5/12</f>
        <v>0</v>
      </c>
      <c r="F276" s="12">
        <f t="shared" si="36"/>
        <v>0</v>
      </c>
      <c r="G276" s="12">
        <f t="shared" si="42"/>
        <v>0</v>
      </c>
      <c r="H276" s="22">
        <f t="shared" si="43"/>
        <v>0</v>
      </c>
      <c r="J276" s="51">
        <f t="shared" si="37"/>
        <v>0</v>
      </c>
      <c r="K276" s="51">
        <f>IF(N275=0,0,IF(N275&lt;BondCalculator!$B$12+BondCalculator!$B$7,N275+L276,BondCalculator!$B$12+BondCalculator!$B$7))</f>
        <v>0</v>
      </c>
      <c r="L276" s="51">
        <f>J276*BondCalculator!$B$5/12</f>
        <v>0</v>
      </c>
      <c r="M276" s="51">
        <f t="shared" si="38"/>
        <v>0</v>
      </c>
      <c r="N276" s="51">
        <f t="shared" si="39"/>
        <v>0</v>
      </c>
      <c r="P276" s="51">
        <f t="shared" si="40"/>
        <v>0</v>
      </c>
      <c r="Q276" s="63">
        <f>-PV(BondCalculator!$B$9/12,B276,0,1,0)</f>
        <v>0.25625074723016217</v>
      </c>
      <c r="S276" s="64">
        <f t="shared" si="41"/>
        <v>0</v>
      </c>
    </row>
    <row r="277" spans="1:19" ht="16.05" customHeight="1" x14ac:dyDescent="0.25">
      <c r="A277" s="61" t="s">
        <v>117</v>
      </c>
      <c r="B277" s="72">
        <v>274</v>
      </c>
      <c r="C277" s="12">
        <f t="shared" si="44"/>
        <v>0</v>
      </c>
      <c r="D277" s="12">
        <f>IF(G276=0,0,IF(G276&lt;BondCalculator!$B$12,G276+E277,BondCalculator!$B$12))</f>
        <v>0</v>
      </c>
      <c r="E277" s="12">
        <f>C277*BondCalculator!$B$5/12</f>
        <v>0</v>
      </c>
      <c r="F277" s="12">
        <f t="shared" si="36"/>
        <v>0</v>
      </c>
      <c r="G277" s="12">
        <f t="shared" si="42"/>
        <v>0</v>
      </c>
      <c r="H277" s="22">
        <f t="shared" si="43"/>
        <v>0</v>
      </c>
      <c r="J277" s="51">
        <f t="shared" si="37"/>
        <v>0</v>
      </c>
      <c r="K277" s="51">
        <f>IF(N276=0,0,IF(N276&lt;BondCalculator!$B$12+BondCalculator!$B$7,N276+L277,BondCalculator!$B$12+BondCalculator!$B$7))</f>
        <v>0</v>
      </c>
      <c r="L277" s="51">
        <f>J277*BondCalculator!$B$5/12</f>
        <v>0</v>
      </c>
      <c r="M277" s="51">
        <f t="shared" si="38"/>
        <v>0</v>
      </c>
      <c r="N277" s="51">
        <f t="shared" si="39"/>
        <v>0</v>
      </c>
      <c r="P277" s="51">
        <f t="shared" si="40"/>
        <v>0</v>
      </c>
      <c r="Q277" s="63">
        <f>-PV(BondCalculator!$B$9/12,B277,0,1,0)</f>
        <v>0.25497586789070864</v>
      </c>
      <c r="S277" s="64">
        <f t="shared" si="41"/>
        <v>0</v>
      </c>
    </row>
    <row r="278" spans="1:19" ht="16.05" customHeight="1" x14ac:dyDescent="0.25">
      <c r="A278" s="61" t="s">
        <v>117</v>
      </c>
      <c r="B278" s="72">
        <v>275</v>
      </c>
      <c r="C278" s="12">
        <f t="shared" si="44"/>
        <v>0</v>
      </c>
      <c r="D278" s="12">
        <f>IF(G277=0,0,IF(G277&lt;BondCalculator!$B$12,G277+E278,BondCalculator!$B$12))</f>
        <v>0</v>
      </c>
      <c r="E278" s="12">
        <f>C278*BondCalculator!$B$5/12</f>
        <v>0</v>
      </c>
      <c r="F278" s="12">
        <f t="shared" si="36"/>
        <v>0</v>
      </c>
      <c r="G278" s="12">
        <f t="shared" si="42"/>
        <v>0</v>
      </c>
      <c r="H278" s="22">
        <f t="shared" si="43"/>
        <v>0</v>
      </c>
      <c r="J278" s="51">
        <f t="shared" si="37"/>
        <v>0</v>
      </c>
      <c r="K278" s="51">
        <f>IF(N277=0,0,IF(N277&lt;BondCalculator!$B$12+BondCalculator!$B$7,N277+L278,BondCalculator!$B$12+BondCalculator!$B$7))</f>
        <v>0</v>
      </c>
      <c r="L278" s="51">
        <f>J278*BondCalculator!$B$5/12</f>
        <v>0</v>
      </c>
      <c r="M278" s="51">
        <f t="shared" si="38"/>
        <v>0</v>
      </c>
      <c r="N278" s="51">
        <f t="shared" si="39"/>
        <v>0</v>
      </c>
      <c r="P278" s="51">
        <f t="shared" si="40"/>
        <v>0</v>
      </c>
      <c r="Q278" s="63">
        <f>-PV(BondCalculator!$B$9/12,B278,0,1,0)</f>
        <v>0.25370733123453604</v>
      </c>
      <c r="S278" s="64">
        <f t="shared" si="41"/>
        <v>0</v>
      </c>
    </row>
    <row r="279" spans="1:19" ht="16.05" customHeight="1" x14ac:dyDescent="0.25">
      <c r="A279" s="61" t="s">
        <v>117</v>
      </c>
      <c r="B279" s="72">
        <v>276</v>
      </c>
      <c r="C279" s="12">
        <f t="shared" si="44"/>
        <v>0</v>
      </c>
      <c r="D279" s="12">
        <f>IF(G278=0,0,IF(G278&lt;BondCalculator!$B$12,G278+E279,BondCalculator!$B$12))</f>
        <v>0</v>
      </c>
      <c r="E279" s="12">
        <f>C279*BondCalculator!$B$5/12</f>
        <v>0</v>
      </c>
      <c r="F279" s="12">
        <f t="shared" si="36"/>
        <v>0</v>
      </c>
      <c r="G279" s="12">
        <f t="shared" si="42"/>
        <v>0</v>
      </c>
      <c r="H279" s="22">
        <f t="shared" si="43"/>
        <v>0</v>
      </c>
      <c r="J279" s="51">
        <f t="shared" si="37"/>
        <v>0</v>
      </c>
      <c r="K279" s="51">
        <f>IF(N278=0,0,IF(N278&lt;BondCalculator!$B$12+BondCalculator!$B$7,N278+L279,BondCalculator!$B$12+BondCalculator!$B$7))</f>
        <v>0</v>
      </c>
      <c r="L279" s="51">
        <f>J279*BondCalculator!$B$5/12</f>
        <v>0</v>
      </c>
      <c r="M279" s="51">
        <f t="shared" si="38"/>
        <v>0</v>
      </c>
      <c r="N279" s="51">
        <f t="shared" si="39"/>
        <v>0</v>
      </c>
      <c r="P279" s="51">
        <f t="shared" si="40"/>
        <v>0</v>
      </c>
      <c r="Q279" s="63">
        <f>-PV(BondCalculator!$B$9/12,B279,0,1,0)</f>
        <v>0.25244510570600603</v>
      </c>
      <c r="S279" s="64">
        <f t="shared" si="41"/>
        <v>0</v>
      </c>
    </row>
    <row r="280" spans="1:19" ht="16.05" customHeight="1" x14ac:dyDescent="0.25">
      <c r="A280" s="61" t="s">
        <v>118</v>
      </c>
      <c r="B280" s="72">
        <v>277</v>
      </c>
      <c r="C280" s="12">
        <f t="shared" si="44"/>
        <v>0</v>
      </c>
      <c r="D280" s="12">
        <f>IF(G279=0,0,IF(G279&lt;BondCalculator!$B$12,G279+E280,BondCalculator!$B$12))</f>
        <v>0</v>
      </c>
      <c r="E280" s="12">
        <f>C280*BondCalculator!$B$5/12</f>
        <v>0</v>
      </c>
      <c r="F280" s="12">
        <f t="shared" si="36"/>
        <v>0</v>
      </c>
      <c r="G280" s="12">
        <f t="shared" si="42"/>
        <v>0</v>
      </c>
      <c r="H280" s="22">
        <f t="shared" si="43"/>
        <v>0</v>
      </c>
      <c r="J280" s="51">
        <f t="shared" si="37"/>
        <v>0</v>
      </c>
      <c r="K280" s="51">
        <f>IF(N279=0,0,IF(N279&lt;BondCalculator!$B$12+BondCalculator!$B$7,N279+L280,BondCalculator!$B$12+BondCalculator!$B$7))</f>
        <v>0</v>
      </c>
      <c r="L280" s="51">
        <f>J280*BondCalculator!$B$5/12</f>
        <v>0</v>
      </c>
      <c r="M280" s="51">
        <f t="shared" si="38"/>
        <v>0</v>
      </c>
      <c r="N280" s="51">
        <f t="shared" si="39"/>
        <v>0</v>
      </c>
      <c r="P280" s="51">
        <f t="shared" si="40"/>
        <v>0</v>
      </c>
      <c r="Q280" s="63">
        <f>-PV(BondCalculator!$B$9/12,B280,0,1,0)</f>
        <v>0.25118915990647372</v>
      </c>
      <c r="S280" s="64">
        <f t="shared" si="41"/>
        <v>0</v>
      </c>
    </row>
    <row r="281" spans="1:19" ht="16.05" customHeight="1" x14ac:dyDescent="0.25">
      <c r="A281" s="61" t="s">
        <v>118</v>
      </c>
      <c r="B281" s="72">
        <v>278</v>
      </c>
      <c r="C281" s="12">
        <f t="shared" si="44"/>
        <v>0</v>
      </c>
      <c r="D281" s="12">
        <f>IF(G280=0,0,IF(G280&lt;BondCalculator!$B$12,G280+E281,BondCalculator!$B$12))</f>
        <v>0</v>
      </c>
      <c r="E281" s="12">
        <f>C281*BondCalculator!$B$5/12</f>
        <v>0</v>
      </c>
      <c r="F281" s="12">
        <f t="shared" si="36"/>
        <v>0</v>
      </c>
      <c r="G281" s="12">
        <f t="shared" si="42"/>
        <v>0</v>
      </c>
      <c r="H281" s="22">
        <f t="shared" si="43"/>
        <v>0</v>
      </c>
      <c r="J281" s="51">
        <f t="shared" si="37"/>
        <v>0</v>
      </c>
      <c r="K281" s="51">
        <f>IF(N280=0,0,IF(N280&lt;BondCalculator!$B$12+BondCalculator!$B$7,N280+L281,BondCalculator!$B$12+BondCalculator!$B$7))</f>
        <v>0</v>
      </c>
      <c r="L281" s="51">
        <f>J281*BondCalculator!$B$5/12</f>
        <v>0</v>
      </c>
      <c r="M281" s="51">
        <f t="shared" si="38"/>
        <v>0</v>
      </c>
      <c r="N281" s="51">
        <f t="shared" si="39"/>
        <v>0</v>
      </c>
      <c r="P281" s="51">
        <f t="shared" si="40"/>
        <v>0</v>
      </c>
      <c r="Q281" s="63">
        <f>-PV(BondCalculator!$B$9/12,B281,0,1,0)</f>
        <v>0.24993946259350622</v>
      </c>
      <c r="S281" s="64">
        <f t="shared" si="41"/>
        <v>0</v>
      </c>
    </row>
    <row r="282" spans="1:19" ht="16.05" customHeight="1" x14ac:dyDescent="0.25">
      <c r="A282" s="61" t="s">
        <v>118</v>
      </c>
      <c r="B282" s="72">
        <v>279</v>
      </c>
      <c r="C282" s="12">
        <f t="shared" si="44"/>
        <v>0</v>
      </c>
      <c r="D282" s="12">
        <f>IF(G281=0,0,IF(G281&lt;BondCalculator!$B$12,G281+E282,BondCalculator!$B$12))</f>
        <v>0</v>
      </c>
      <c r="E282" s="12">
        <f>C282*BondCalculator!$B$5/12</f>
        <v>0</v>
      </c>
      <c r="F282" s="12">
        <f t="shared" si="36"/>
        <v>0</v>
      </c>
      <c r="G282" s="12">
        <f t="shared" si="42"/>
        <v>0</v>
      </c>
      <c r="H282" s="22">
        <f t="shared" si="43"/>
        <v>0</v>
      </c>
      <c r="J282" s="51">
        <f t="shared" si="37"/>
        <v>0</v>
      </c>
      <c r="K282" s="51">
        <f>IF(N281=0,0,IF(N281&lt;BondCalculator!$B$12+BondCalculator!$B$7,N281+L282,BondCalculator!$B$12+BondCalculator!$B$7))</f>
        <v>0</v>
      </c>
      <c r="L282" s="51">
        <f>J282*BondCalculator!$B$5/12</f>
        <v>0</v>
      </c>
      <c r="M282" s="51">
        <f t="shared" si="38"/>
        <v>0</v>
      </c>
      <c r="N282" s="51">
        <f t="shared" si="39"/>
        <v>0</v>
      </c>
      <c r="P282" s="51">
        <f t="shared" si="40"/>
        <v>0</v>
      </c>
      <c r="Q282" s="63">
        <f>-PV(BondCalculator!$B$9/12,B282,0,1,0)</f>
        <v>0.24869598268010576</v>
      </c>
      <c r="S282" s="64">
        <f t="shared" si="41"/>
        <v>0</v>
      </c>
    </row>
    <row r="283" spans="1:19" ht="16.05" customHeight="1" x14ac:dyDescent="0.25">
      <c r="A283" s="61" t="s">
        <v>118</v>
      </c>
      <c r="B283" s="72">
        <v>280</v>
      </c>
      <c r="C283" s="12">
        <f t="shared" si="44"/>
        <v>0</v>
      </c>
      <c r="D283" s="12">
        <f>IF(G282=0,0,IF(G282&lt;BondCalculator!$B$12,G282+E283,BondCalculator!$B$12))</f>
        <v>0</v>
      </c>
      <c r="E283" s="12">
        <f>C283*BondCalculator!$B$5/12</f>
        <v>0</v>
      </c>
      <c r="F283" s="12">
        <f t="shared" si="36"/>
        <v>0</v>
      </c>
      <c r="G283" s="12">
        <f t="shared" si="42"/>
        <v>0</v>
      </c>
      <c r="H283" s="22">
        <f t="shared" si="43"/>
        <v>0</v>
      </c>
      <c r="J283" s="51">
        <f t="shared" si="37"/>
        <v>0</v>
      </c>
      <c r="K283" s="51">
        <f>IF(N282=0,0,IF(N282&lt;BondCalculator!$B$12+BondCalculator!$B$7,N282+L283,BondCalculator!$B$12+BondCalculator!$B$7))</f>
        <v>0</v>
      </c>
      <c r="L283" s="51">
        <f>J283*BondCalculator!$B$5/12</f>
        <v>0</v>
      </c>
      <c r="M283" s="51">
        <f t="shared" si="38"/>
        <v>0</v>
      </c>
      <c r="N283" s="51">
        <f t="shared" si="39"/>
        <v>0</v>
      </c>
      <c r="P283" s="51">
        <f t="shared" si="40"/>
        <v>0</v>
      </c>
      <c r="Q283" s="63">
        <f>-PV(BondCalculator!$B$9/12,B283,0,1,0)</f>
        <v>0.24745868923393602</v>
      </c>
      <c r="S283" s="64">
        <f t="shared" si="41"/>
        <v>0</v>
      </c>
    </row>
    <row r="284" spans="1:19" ht="16.05" customHeight="1" x14ac:dyDescent="0.25">
      <c r="A284" s="61" t="s">
        <v>118</v>
      </c>
      <c r="B284" s="72">
        <v>281</v>
      </c>
      <c r="C284" s="12">
        <f t="shared" si="44"/>
        <v>0</v>
      </c>
      <c r="D284" s="12">
        <f>IF(G283=0,0,IF(G283&lt;BondCalculator!$B$12,G283+E284,BondCalculator!$B$12))</f>
        <v>0</v>
      </c>
      <c r="E284" s="12">
        <f>C284*BondCalculator!$B$5/12</f>
        <v>0</v>
      </c>
      <c r="F284" s="12">
        <f t="shared" si="36"/>
        <v>0</v>
      </c>
      <c r="G284" s="12">
        <f t="shared" si="42"/>
        <v>0</v>
      </c>
      <c r="H284" s="22">
        <f t="shared" si="43"/>
        <v>0</v>
      </c>
      <c r="J284" s="51">
        <f t="shared" si="37"/>
        <v>0</v>
      </c>
      <c r="K284" s="51">
        <f>IF(N283=0,0,IF(N283&lt;BondCalculator!$B$12+BondCalculator!$B$7,N283+L284,BondCalculator!$B$12+BondCalculator!$B$7))</f>
        <v>0</v>
      </c>
      <c r="L284" s="51">
        <f>J284*BondCalculator!$B$5/12</f>
        <v>0</v>
      </c>
      <c r="M284" s="51">
        <f t="shared" si="38"/>
        <v>0</v>
      </c>
      <c r="N284" s="51">
        <f t="shared" si="39"/>
        <v>0</v>
      </c>
      <c r="P284" s="51">
        <f t="shared" si="40"/>
        <v>0</v>
      </c>
      <c r="Q284" s="63">
        <f>-PV(BondCalculator!$B$9/12,B284,0,1,0)</f>
        <v>0.24622755147655334</v>
      </c>
      <c r="S284" s="64">
        <f t="shared" si="41"/>
        <v>0</v>
      </c>
    </row>
    <row r="285" spans="1:19" ht="16.05" customHeight="1" x14ac:dyDescent="0.25">
      <c r="A285" s="61" t="s">
        <v>118</v>
      </c>
      <c r="B285" s="72">
        <v>282</v>
      </c>
      <c r="C285" s="12">
        <f t="shared" si="44"/>
        <v>0</v>
      </c>
      <c r="D285" s="12">
        <f>IF(G284=0,0,IF(G284&lt;BondCalculator!$B$12,G284+E285,BondCalculator!$B$12))</f>
        <v>0</v>
      </c>
      <c r="E285" s="12">
        <f>C285*BondCalculator!$B$5/12</f>
        <v>0</v>
      </c>
      <c r="F285" s="12">
        <f t="shared" si="36"/>
        <v>0</v>
      </c>
      <c r="G285" s="12">
        <f t="shared" si="42"/>
        <v>0</v>
      </c>
      <c r="H285" s="22">
        <f t="shared" si="43"/>
        <v>0</v>
      </c>
      <c r="J285" s="51">
        <f t="shared" si="37"/>
        <v>0</v>
      </c>
      <c r="K285" s="51">
        <f>IF(N284=0,0,IF(N284&lt;BondCalculator!$B$12+BondCalculator!$B$7,N284+L285,BondCalculator!$B$12+BondCalculator!$B$7))</f>
        <v>0</v>
      </c>
      <c r="L285" s="51">
        <f>J285*BondCalculator!$B$5/12</f>
        <v>0</v>
      </c>
      <c r="M285" s="51">
        <f t="shared" si="38"/>
        <v>0</v>
      </c>
      <c r="N285" s="51">
        <f t="shared" si="39"/>
        <v>0</v>
      </c>
      <c r="P285" s="51">
        <f t="shared" si="40"/>
        <v>0</v>
      </c>
      <c r="Q285" s="63">
        <f>-PV(BondCalculator!$B$9/12,B285,0,1,0)</f>
        <v>0.24500253878264011</v>
      </c>
      <c r="S285" s="64">
        <f t="shared" si="41"/>
        <v>0</v>
      </c>
    </row>
    <row r="286" spans="1:19" ht="16.05" customHeight="1" x14ac:dyDescent="0.25">
      <c r="A286" s="61" t="s">
        <v>118</v>
      </c>
      <c r="B286" s="72">
        <v>283</v>
      </c>
      <c r="C286" s="12">
        <f t="shared" si="44"/>
        <v>0</v>
      </c>
      <c r="D286" s="12">
        <f>IF(G285=0,0,IF(G285&lt;BondCalculator!$B$12,G285+E286,BondCalculator!$B$12))</f>
        <v>0</v>
      </c>
      <c r="E286" s="12">
        <f>C286*BondCalculator!$B$5/12</f>
        <v>0</v>
      </c>
      <c r="F286" s="12">
        <f t="shared" si="36"/>
        <v>0</v>
      </c>
      <c r="G286" s="12">
        <f t="shared" si="42"/>
        <v>0</v>
      </c>
      <c r="H286" s="22">
        <f t="shared" si="43"/>
        <v>0</v>
      </c>
      <c r="J286" s="51">
        <f t="shared" si="37"/>
        <v>0</v>
      </c>
      <c r="K286" s="51">
        <f>IF(N285=0,0,IF(N285&lt;BondCalculator!$B$12+BondCalculator!$B$7,N285+L286,BondCalculator!$B$12+BondCalculator!$B$7))</f>
        <v>0</v>
      </c>
      <c r="L286" s="51">
        <f>J286*BondCalculator!$B$5/12</f>
        <v>0</v>
      </c>
      <c r="M286" s="51">
        <f t="shared" si="38"/>
        <v>0</v>
      </c>
      <c r="N286" s="51">
        <f t="shared" si="39"/>
        <v>0</v>
      </c>
      <c r="P286" s="51">
        <f t="shared" si="40"/>
        <v>0</v>
      </c>
      <c r="Q286" s="63">
        <f>-PV(BondCalculator!$B$9/12,B286,0,1,0)</f>
        <v>0.24378362067924397</v>
      </c>
      <c r="S286" s="64">
        <f t="shared" si="41"/>
        <v>0</v>
      </c>
    </row>
    <row r="287" spans="1:19" ht="16.05" customHeight="1" x14ac:dyDescent="0.25">
      <c r="A287" s="61" t="s">
        <v>118</v>
      </c>
      <c r="B287" s="72">
        <v>284</v>
      </c>
      <c r="C287" s="12">
        <f t="shared" si="44"/>
        <v>0</v>
      </c>
      <c r="D287" s="12">
        <f>IF(G286=0,0,IF(G286&lt;BondCalculator!$B$12,G286+E287,BondCalculator!$B$12))</f>
        <v>0</v>
      </c>
      <c r="E287" s="12">
        <f>C287*BondCalculator!$B$5/12</f>
        <v>0</v>
      </c>
      <c r="F287" s="12">
        <f t="shared" si="36"/>
        <v>0</v>
      </c>
      <c r="G287" s="12">
        <f t="shared" si="42"/>
        <v>0</v>
      </c>
      <c r="H287" s="22">
        <f t="shared" si="43"/>
        <v>0</v>
      </c>
      <c r="J287" s="51">
        <f t="shared" si="37"/>
        <v>0</v>
      </c>
      <c r="K287" s="51">
        <f>IF(N286=0,0,IF(N286&lt;BondCalculator!$B$12+BondCalculator!$B$7,N286+L287,BondCalculator!$B$12+BondCalculator!$B$7))</f>
        <v>0</v>
      </c>
      <c r="L287" s="51">
        <f>J287*BondCalculator!$B$5/12</f>
        <v>0</v>
      </c>
      <c r="M287" s="51">
        <f t="shared" si="38"/>
        <v>0</v>
      </c>
      <c r="N287" s="51">
        <f t="shared" si="39"/>
        <v>0</v>
      </c>
      <c r="P287" s="51">
        <f t="shared" si="40"/>
        <v>0</v>
      </c>
      <c r="Q287" s="63">
        <f>-PV(BondCalculator!$B$9/12,B287,0,1,0)</f>
        <v>0.24257076684501891</v>
      </c>
      <c r="S287" s="64">
        <f t="shared" si="41"/>
        <v>0</v>
      </c>
    </row>
    <row r="288" spans="1:19" ht="16.05" customHeight="1" x14ac:dyDescent="0.25">
      <c r="A288" s="61" t="s">
        <v>118</v>
      </c>
      <c r="B288" s="72">
        <v>285</v>
      </c>
      <c r="C288" s="12">
        <f t="shared" si="44"/>
        <v>0</v>
      </c>
      <c r="D288" s="12">
        <f>IF(G287=0,0,IF(G287&lt;BondCalculator!$B$12,G287+E288,BondCalculator!$B$12))</f>
        <v>0</v>
      </c>
      <c r="E288" s="12">
        <f>C288*BondCalculator!$B$5/12</f>
        <v>0</v>
      </c>
      <c r="F288" s="12">
        <f t="shared" si="36"/>
        <v>0</v>
      </c>
      <c r="G288" s="12">
        <f t="shared" si="42"/>
        <v>0</v>
      </c>
      <c r="H288" s="22">
        <f t="shared" si="43"/>
        <v>0</v>
      </c>
      <c r="J288" s="51">
        <f t="shared" si="37"/>
        <v>0</v>
      </c>
      <c r="K288" s="51">
        <f>IF(N287=0,0,IF(N287&lt;BondCalculator!$B$12+BondCalculator!$B$7,N287+L288,BondCalculator!$B$12+BondCalculator!$B$7))</f>
        <v>0</v>
      </c>
      <c r="L288" s="51">
        <f>J288*BondCalculator!$B$5/12</f>
        <v>0</v>
      </c>
      <c r="M288" s="51">
        <f t="shared" si="38"/>
        <v>0</v>
      </c>
      <c r="N288" s="51">
        <f t="shared" si="39"/>
        <v>0</v>
      </c>
      <c r="P288" s="51">
        <f t="shared" si="40"/>
        <v>0</v>
      </c>
      <c r="Q288" s="63">
        <f>-PV(BondCalculator!$B$9/12,B288,0,1,0)</f>
        <v>0.24136394710947159</v>
      </c>
      <c r="S288" s="64">
        <f t="shared" si="41"/>
        <v>0</v>
      </c>
    </row>
    <row r="289" spans="1:19" ht="16.05" customHeight="1" x14ac:dyDescent="0.25">
      <c r="A289" s="61" t="s">
        <v>118</v>
      </c>
      <c r="B289" s="72">
        <v>286</v>
      </c>
      <c r="C289" s="12">
        <f t="shared" si="44"/>
        <v>0</v>
      </c>
      <c r="D289" s="12">
        <f>IF(G288=0,0,IF(G288&lt;BondCalculator!$B$12,G288+E289,BondCalculator!$B$12))</f>
        <v>0</v>
      </c>
      <c r="E289" s="12">
        <f>C289*BondCalculator!$B$5/12</f>
        <v>0</v>
      </c>
      <c r="F289" s="12">
        <f t="shared" si="36"/>
        <v>0</v>
      </c>
      <c r="G289" s="12">
        <f t="shared" si="42"/>
        <v>0</v>
      </c>
      <c r="H289" s="22">
        <f t="shared" si="43"/>
        <v>0</v>
      </c>
      <c r="J289" s="51">
        <f t="shared" si="37"/>
        <v>0</v>
      </c>
      <c r="K289" s="51">
        <f>IF(N288=0,0,IF(N288&lt;BondCalculator!$B$12+BondCalculator!$B$7,N288+L289,BondCalculator!$B$12+BondCalculator!$B$7))</f>
        <v>0</v>
      </c>
      <c r="L289" s="51">
        <f>J289*BondCalculator!$B$5/12</f>
        <v>0</v>
      </c>
      <c r="M289" s="51">
        <f t="shared" si="38"/>
        <v>0</v>
      </c>
      <c r="N289" s="51">
        <f t="shared" si="39"/>
        <v>0</v>
      </c>
      <c r="P289" s="51">
        <f t="shared" si="40"/>
        <v>0</v>
      </c>
      <c r="Q289" s="63">
        <f>-PV(BondCalculator!$B$9/12,B289,0,1,0)</f>
        <v>0.24016313145221058</v>
      </c>
      <c r="S289" s="64">
        <f t="shared" si="41"/>
        <v>0</v>
      </c>
    </row>
    <row r="290" spans="1:19" ht="16.05" customHeight="1" x14ac:dyDescent="0.25">
      <c r="A290" s="61" t="s">
        <v>118</v>
      </c>
      <c r="B290" s="72">
        <v>287</v>
      </c>
      <c r="C290" s="12">
        <f t="shared" si="44"/>
        <v>0</v>
      </c>
      <c r="D290" s="12">
        <f>IF(G289=0,0,IF(G289&lt;BondCalculator!$B$12,G289+E290,BondCalculator!$B$12))</f>
        <v>0</v>
      </c>
      <c r="E290" s="12">
        <f>C290*BondCalculator!$B$5/12</f>
        <v>0</v>
      </c>
      <c r="F290" s="12">
        <f t="shared" si="36"/>
        <v>0</v>
      </c>
      <c r="G290" s="12">
        <f t="shared" si="42"/>
        <v>0</v>
      </c>
      <c r="H290" s="22">
        <f t="shared" si="43"/>
        <v>0</v>
      </c>
      <c r="J290" s="51">
        <f t="shared" si="37"/>
        <v>0</v>
      </c>
      <c r="K290" s="51">
        <f>IF(N289=0,0,IF(N289&lt;BondCalculator!$B$12+BondCalculator!$B$7,N289+L290,BondCalculator!$B$12+BondCalculator!$B$7))</f>
        <v>0</v>
      </c>
      <c r="L290" s="51">
        <f>J290*BondCalculator!$B$5/12</f>
        <v>0</v>
      </c>
      <c r="M290" s="51">
        <f t="shared" si="38"/>
        <v>0</v>
      </c>
      <c r="N290" s="51">
        <f t="shared" si="39"/>
        <v>0</v>
      </c>
      <c r="P290" s="51">
        <f t="shared" si="40"/>
        <v>0</v>
      </c>
      <c r="Q290" s="63">
        <f>-PV(BondCalculator!$B$9/12,B290,0,1,0)</f>
        <v>0.23896829000219963</v>
      </c>
      <c r="S290" s="64">
        <f t="shared" si="41"/>
        <v>0</v>
      </c>
    </row>
    <row r="291" spans="1:19" ht="16.05" customHeight="1" x14ac:dyDescent="0.25">
      <c r="A291" s="61" t="s">
        <v>118</v>
      </c>
      <c r="B291" s="72">
        <v>288</v>
      </c>
      <c r="C291" s="12">
        <f t="shared" si="44"/>
        <v>0</v>
      </c>
      <c r="D291" s="12">
        <f>IF(G290=0,0,IF(G290&lt;BondCalculator!$B$12,G290+E291,BondCalculator!$B$12))</f>
        <v>0</v>
      </c>
      <c r="E291" s="12">
        <f>C291*BondCalculator!$B$5/12</f>
        <v>0</v>
      </c>
      <c r="F291" s="12">
        <f t="shared" si="36"/>
        <v>0</v>
      </c>
      <c r="G291" s="12">
        <f t="shared" si="42"/>
        <v>0</v>
      </c>
      <c r="H291" s="22">
        <f t="shared" si="43"/>
        <v>0</v>
      </c>
      <c r="J291" s="51">
        <f t="shared" si="37"/>
        <v>0</v>
      </c>
      <c r="K291" s="51">
        <f>IF(N290=0,0,IF(N290&lt;BondCalculator!$B$12+BondCalculator!$B$7,N290+L291,BondCalculator!$B$12+BondCalculator!$B$7))</f>
        <v>0</v>
      </c>
      <c r="L291" s="51">
        <f>J291*BondCalculator!$B$5/12</f>
        <v>0</v>
      </c>
      <c r="M291" s="51">
        <f t="shared" si="38"/>
        <v>0</v>
      </c>
      <c r="N291" s="51">
        <f t="shared" si="39"/>
        <v>0</v>
      </c>
      <c r="P291" s="51">
        <f t="shared" si="40"/>
        <v>0</v>
      </c>
      <c r="Q291" s="63">
        <f>-PV(BondCalculator!$B$9/12,B291,0,1,0)</f>
        <v>0.23777939303701462</v>
      </c>
      <c r="S291" s="64">
        <f t="shared" si="41"/>
        <v>0</v>
      </c>
    </row>
    <row r="292" spans="1:19" ht="16.05" customHeight="1" x14ac:dyDescent="0.25">
      <c r="A292" s="61" t="s">
        <v>119</v>
      </c>
      <c r="B292" s="72">
        <v>289</v>
      </c>
      <c r="C292" s="12">
        <f t="shared" si="44"/>
        <v>0</v>
      </c>
      <c r="D292" s="12">
        <f>IF(G291=0,0,IF(G291&lt;BondCalculator!$B$12,G291+E292,BondCalculator!$B$12))</f>
        <v>0</v>
      </c>
      <c r="E292" s="12">
        <f>C292*BondCalculator!$B$5/12</f>
        <v>0</v>
      </c>
      <c r="F292" s="12">
        <f t="shared" si="36"/>
        <v>0</v>
      </c>
      <c r="G292" s="12">
        <f t="shared" si="42"/>
        <v>0</v>
      </c>
      <c r="H292" s="22">
        <f t="shared" si="43"/>
        <v>0</v>
      </c>
      <c r="J292" s="51">
        <f t="shared" si="37"/>
        <v>0</v>
      </c>
      <c r="K292" s="51">
        <f>IF(N291=0,0,IF(N291&lt;BondCalculator!$B$12+BondCalculator!$B$7,N291+L292,BondCalculator!$B$12+BondCalculator!$B$7))</f>
        <v>0</v>
      </c>
      <c r="L292" s="51">
        <f>J292*BondCalculator!$B$5/12</f>
        <v>0</v>
      </c>
      <c r="M292" s="51">
        <f t="shared" si="38"/>
        <v>0</v>
      </c>
      <c r="N292" s="51">
        <f t="shared" si="39"/>
        <v>0</v>
      </c>
      <c r="P292" s="51">
        <f t="shared" si="40"/>
        <v>0</v>
      </c>
      <c r="Q292" s="63">
        <f>-PV(BondCalculator!$B$9/12,B292,0,1,0)</f>
        <v>0.2365964109821041</v>
      </c>
      <c r="S292" s="64">
        <f t="shared" si="41"/>
        <v>0</v>
      </c>
    </row>
    <row r="293" spans="1:19" ht="16.05" customHeight="1" x14ac:dyDescent="0.25">
      <c r="A293" s="61" t="s">
        <v>119</v>
      </c>
      <c r="B293" s="72">
        <v>290</v>
      </c>
      <c r="C293" s="12">
        <f t="shared" si="44"/>
        <v>0</v>
      </c>
      <c r="D293" s="12">
        <f>IF(G292=0,0,IF(G292&lt;BondCalculator!$B$12,G292+E293,BondCalculator!$B$12))</f>
        <v>0</v>
      </c>
      <c r="E293" s="12">
        <f>C293*BondCalculator!$B$5/12</f>
        <v>0</v>
      </c>
      <c r="F293" s="12">
        <f t="shared" si="36"/>
        <v>0</v>
      </c>
      <c r="G293" s="12">
        <f t="shared" si="42"/>
        <v>0</v>
      </c>
      <c r="H293" s="22">
        <f t="shared" si="43"/>
        <v>0</v>
      </c>
      <c r="J293" s="51">
        <f t="shared" si="37"/>
        <v>0</v>
      </c>
      <c r="K293" s="51">
        <f>IF(N292=0,0,IF(N292&lt;BondCalculator!$B$12+BondCalculator!$B$7,N292+L293,BondCalculator!$B$12+BondCalculator!$B$7))</f>
        <v>0</v>
      </c>
      <c r="L293" s="51">
        <f>J293*BondCalculator!$B$5/12</f>
        <v>0</v>
      </c>
      <c r="M293" s="51">
        <f t="shared" si="38"/>
        <v>0</v>
      </c>
      <c r="N293" s="51">
        <f t="shared" si="39"/>
        <v>0</v>
      </c>
      <c r="P293" s="51">
        <f t="shared" si="40"/>
        <v>0</v>
      </c>
      <c r="Q293" s="63">
        <f>-PV(BondCalculator!$B$9/12,B293,0,1,0)</f>
        <v>0.2354193144100539</v>
      </c>
      <c r="S293" s="64">
        <f t="shared" si="41"/>
        <v>0</v>
      </c>
    </row>
    <row r="294" spans="1:19" ht="16.05" customHeight="1" x14ac:dyDescent="0.25">
      <c r="A294" s="61" t="s">
        <v>119</v>
      </c>
      <c r="B294" s="72">
        <v>291</v>
      </c>
      <c r="C294" s="12">
        <f t="shared" si="44"/>
        <v>0</v>
      </c>
      <c r="D294" s="12">
        <f>IF(G293=0,0,IF(G293&lt;BondCalculator!$B$12,G293+E294,BondCalculator!$B$12))</f>
        <v>0</v>
      </c>
      <c r="E294" s="12">
        <f>C294*BondCalculator!$B$5/12</f>
        <v>0</v>
      </c>
      <c r="F294" s="12">
        <f t="shared" si="36"/>
        <v>0</v>
      </c>
      <c r="G294" s="12">
        <f t="shared" si="42"/>
        <v>0</v>
      </c>
      <c r="H294" s="22">
        <f t="shared" si="43"/>
        <v>0</v>
      </c>
      <c r="J294" s="51">
        <f t="shared" si="37"/>
        <v>0</v>
      </c>
      <c r="K294" s="51">
        <f>IF(N293=0,0,IF(N293&lt;BondCalculator!$B$12+BondCalculator!$B$7,N293+L294,BondCalculator!$B$12+BondCalculator!$B$7))</f>
        <v>0</v>
      </c>
      <c r="L294" s="51">
        <f>J294*BondCalculator!$B$5/12</f>
        <v>0</v>
      </c>
      <c r="M294" s="51">
        <f t="shared" si="38"/>
        <v>0</v>
      </c>
      <c r="N294" s="51">
        <f t="shared" si="39"/>
        <v>0</v>
      </c>
      <c r="P294" s="51">
        <f t="shared" si="40"/>
        <v>0</v>
      </c>
      <c r="Q294" s="63">
        <f>-PV(BondCalculator!$B$9/12,B294,0,1,0)</f>
        <v>0.23424807403985459</v>
      </c>
      <c r="S294" s="64">
        <f t="shared" si="41"/>
        <v>0</v>
      </c>
    </row>
    <row r="295" spans="1:19" ht="16.05" customHeight="1" x14ac:dyDescent="0.25">
      <c r="A295" s="61" t="s">
        <v>119</v>
      </c>
      <c r="B295" s="72">
        <v>292</v>
      </c>
      <c r="C295" s="12">
        <f t="shared" si="44"/>
        <v>0</v>
      </c>
      <c r="D295" s="12">
        <f>IF(G294=0,0,IF(G294&lt;BondCalculator!$B$12,G294+E295,BondCalculator!$B$12))</f>
        <v>0</v>
      </c>
      <c r="E295" s="12">
        <f>C295*BondCalculator!$B$5/12</f>
        <v>0</v>
      </c>
      <c r="F295" s="12">
        <f t="shared" si="36"/>
        <v>0</v>
      </c>
      <c r="G295" s="12">
        <f t="shared" si="42"/>
        <v>0</v>
      </c>
      <c r="H295" s="22">
        <f t="shared" si="43"/>
        <v>0</v>
      </c>
      <c r="J295" s="51">
        <f t="shared" si="37"/>
        <v>0</v>
      </c>
      <c r="K295" s="51">
        <f>IF(N294=0,0,IF(N294&lt;BondCalculator!$B$12+BondCalculator!$B$7,N294+L295,BondCalculator!$B$12+BondCalculator!$B$7))</f>
        <v>0</v>
      </c>
      <c r="L295" s="51">
        <f>J295*BondCalculator!$B$5/12</f>
        <v>0</v>
      </c>
      <c r="M295" s="51">
        <f t="shared" si="38"/>
        <v>0</v>
      </c>
      <c r="N295" s="51">
        <f t="shared" si="39"/>
        <v>0</v>
      </c>
      <c r="P295" s="51">
        <f t="shared" si="40"/>
        <v>0</v>
      </c>
      <c r="Q295" s="63">
        <f>-PV(BondCalculator!$B$9/12,B295,0,1,0)</f>
        <v>0.23308266073617381</v>
      </c>
      <c r="S295" s="64">
        <f t="shared" si="41"/>
        <v>0</v>
      </c>
    </row>
    <row r="296" spans="1:19" ht="16.05" customHeight="1" x14ac:dyDescent="0.25">
      <c r="A296" s="61" t="s">
        <v>119</v>
      </c>
      <c r="B296" s="72">
        <v>293</v>
      </c>
      <c r="C296" s="12">
        <f t="shared" si="44"/>
        <v>0</v>
      </c>
      <c r="D296" s="12">
        <f>IF(G295=0,0,IF(G295&lt;BondCalculator!$B$12,G295+E296,BondCalculator!$B$12))</f>
        <v>0</v>
      </c>
      <c r="E296" s="12">
        <f>C296*BondCalculator!$B$5/12</f>
        <v>0</v>
      </c>
      <c r="F296" s="12">
        <f t="shared" si="36"/>
        <v>0</v>
      </c>
      <c r="G296" s="12">
        <f t="shared" si="42"/>
        <v>0</v>
      </c>
      <c r="H296" s="22">
        <f t="shared" si="43"/>
        <v>0</v>
      </c>
      <c r="J296" s="51">
        <f t="shared" si="37"/>
        <v>0</v>
      </c>
      <c r="K296" s="51">
        <f>IF(N295=0,0,IF(N295&lt;BondCalculator!$B$12+BondCalculator!$B$7,N295+L296,BondCalculator!$B$12+BondCalculator!$B$7))</f>
        <v>0</v>
      </c>
      <c r="L296" s="51">
        <f>J296*BondCalculator!$B$5/12</f>
        <v>0</v>
      </c>
      <c r="M296" s="51">
        <f t="shared" si="38"/>
        <v>0</v>
      </c>
      <c r="N296" s="51">
        <f t="shared" si="39"/>
        <v>0</v>
      </c>
      <c r="P296" s="51">
        <f t="shared" si="40"/>
        <v>0</v>
      </c>
      <c r="Q296" s="63">
        <f>-PV(BondCalculator!$B$9/12,B296,0,1,0)</f>
        <v>0.23192304550863074</v>
      </c>
      <c r="S296" s="64">
        <f t="shared" si="41"/>
        <v>0</v>
      </c>
    </row>
    <row r="297" spans="1:19" ht="16.05" customHeight="1" x14ac:dyDescent="0.25">
      <c r="A297" s="61" t="s">
        <v>119</v>
      </c>
      <c r="B297" s="72">
        <v>294</v>
      </c>
      <c r="C297" s="12">
        <f t="shared" si="44"/>
        <v>0</v>
      </c>
      <c r="D297" s="12">
        <f>IF(G296=0,0,IF(G296&lt;BondCalculator!$B$12,G296+E297,BondCalculator!$B$12))</f>
        <v>0</v>
      </c>
      <c r="E297" s="12">
        <f>C297*BondCalculator!$B$5/12</f>
        <v>0</v>
      </c>
      <c r="F297" s="12">
        <f t="shared" si="36"/>
        <v>0</v>
      </c>
      <c r="G297" s="12">
        <f t="shared" si="42"/>
        <v>0</v>
      </c>
      <c r="H297" s="22">
        <f t="shared" si="43"/>
        <v>0</v>
      </c>
      <c r="J297" s="51">
        <f t="shared" si="37"/>
        <v>0</v>
      </c>
      <c r="K297" s="51">
        <f>IF(N296=0,0,IF(N296&lt;BondCalculator!$B$12+BondCalculator!$B$7,N296+L297,BondCalculator!$B$12+BondCalculator!$B$7))</f>
        <v>0</v>
      </c>
      <c r="L297" s="51">
        <f>J297*BondCalculator!$B$5/12</f>
        <v>0</v>
      </c>
      <c r="M297" s="51">
        <f t="shared" si="38"/>
        <v>0</v>
      </c>
      <c r="N297" s="51">
        <f t="shared" si="39"/>
        <v>0</v>
      </c>
      <c r="P297" s="51">
        <f t="shared" si="40"/>
        <v>0</v>
      </c>
      <c r="Q297" s="63">
        <f>-PV(BondCalculator!$B$9/12,B297,0,1,0)</f>
        <v>0.23076919951107536</v>
      </c>
      <c r="S297" s="64">
        <f t="shared" si="41"/>
        <v>0</v>
      </c>
    </row>
    <row r="298" spans="1:19" ht="16.05" customHeight="1" x14ac:dyDescent="0.25">
      <c r="A298" s="61" t="s">
        <v>119</v>
      </c>
      <c r="B298" s="72">
        <v>295</v>
      </c>
      <c r="C298" s="12">
        <f t="shared" si="44"/>
        <v>0</v>
      </c>
      <c r="D298" s="12">
        <f>IF(G297=0,0,IF(G297&lt;BondCalculator!$B$12,G297+E298,BondCalculator!$B$12))</f>
        <v>0</v>
      </c>
      <c r="E298" s="12">
        <f>C298*BondCalculator!$B$5/12</f>
        <v>0</v>
      </c>
      <c r="F298" s="12">
        <f t="shared" si="36"/>
        <v>0</v>
      </c>
      <c r="G298" s="12">
        <f t="shared" si="42"/>
        <v>0</v>
      </c>
      <c r="H298" s="22">
        <f t="shared" si="43"/>
        <v>0</v>
      </c>
      <c r="J298" s="51">
        <f t="shared" si="37"/>
        <v>0</v>
      </c>
      <c r="K298" s="51">
        <f>IF(N297=0,0,IF(N297&lt;BondCalculator!$B$12+BondCalculator!$B$7,N297+L298,BondCalculator!$B$12+BondCalculator!$B$7))</f>
        <v>0</v>
      </c>
      <c r="L298" s="51">
        <f>J298*BondCalculator!$B$5/12</f>
        <v>0</v>
      </c>
      <c r="M298" s="51">
        <f t="shared" si="38"/>
        <v>0</v>
      </c>
      <c r="N298" s="51">
        <f t="shared" si="39"/>
        <v>0</v>
      </c>
      <c r="P298" s="51">
        <f t="shared" si="40"/>
        <v>0</v>
      </c>
      <c r="Q298" s="63">
        <f>-PV(BondCalculator!$B$9/12,B298,0,1,0)</f>
        <v>0.22962109404087103</v>
      </c>
      <c r="S298" s="64">
        <f t="shared" si="41"/>
        <v>0</v>
      </c>
    </row>
    <row r="299" spans="1:19" ht="16.05" customHeight="1" x14ac:dyDescent="0.25">
      <c r="A299" s="61" t="s">
        <v>119</v>
      </c>
      <c r="B299" s="72">
        <v>296</v>
      </c>
      <c r="C299" s="12">
        <f t="shared" si="44"/>
        <v>0</v>
      </c>
      <c r="D299" s="12">
        <f>IF(G298=0,0,IF(G298&lt;BondCalculator!$B$12,G298+E299,BondCalculator!$B$12))</f>
        <v>0</v>
      </c>
      <c r="E299" s="12">
        <f>C299*BondCalculator!$B$5/12</f>
        <v>0</v>
      </c>
      <c r="F299" s="12">
        <f t="shared" si="36"/>
        <v>0</v>
      </c>
      <c r="G299" s="12">
        <f t="shared" si="42"/>
        <v>0</v>
      </c>
      <c r="H299" s="22">
        <f t="shared" si="43"/>
        <v>0</v>
      </c>
      <c r="J299" s="51">
        <f t="shared" si="37"/>
        <v>0</v>
      </c>
      <c r="K299" s="51">
        <f>IF(N298=0,0,IF(N298&lt;BondCalculator!$B$12+BondCalculator!$B$7,N298+L299,BondCalculator!$B$12+BondCalculator!$B$7))</f>
        <v>0</v>
      </c>
      <c r="L299" s="51">
        <f>J299*BondCalculator!$B$5/12</f>
        <v>0</v>
      </c>
      <c r="M299" s="51">
        <f t="shared" si="38"/>
        <v>0</v>
      </c>
      <c r="N299" s="51">
        <f t="shared" si="39"/>
        <v>0</v>
      </c>
      <c r="P299" s="51">
        <f t="shared" si="40"/>
        <v>0</v>
      </c>
      <c r="Q299" s="63">
        <f>-PV(BondCalculator!$B$9/12,B299,0,1,0)</f>
        <v>0.22847870053818015</v>
      </c>
      <c r="S299" s="64">
        <f t="shared" si="41"/>
        <v>0</v>
      </c>
    </row>
    <row r="300" spans="1:19" ht="16.05" customHeight="1" x14ac:dyDescent="0.25">
      <c r="A300" s="61" t="s">
        <v>119</v>
      </c>
      <c r="B300" s="72">
        <v>297</v>
      </c>
      <c r="C300" s="12">
        <f t="shared" si="44"/>
        <v>0</v>
      </c>
      <c r="D300" s="12">
        <f>IF(G299=0,0,IF(G299&lt;BondCalculator!$B$12,G299+E300,BondCalculator!$B$12))</f>
        <v>0</v>
      </c>
      <c r="E300" s="12">
        <f>C300*BondCalculator!$B$5/12</f>
        <v>0</v>
      </c>
      <c r="F300" s="12">
        <f t="shared" si="36"/>
        <v>0</v>
      </c>
      <c r="G300" s="12">
        <f t="shared" si="42"/>
        <v>0</v>
      </c>
      <c r="H300" s="22">
        <f t="shared" si="43"/>
        <v>0</v>
      </c>
      <c r="J300" s="51">
        <f t="shared" si="37"/>
        <v>0</v>
      </c>
      <c r="K300" s="51">
        <f>IF(N299=0,0,IF(N299&lt;BondCalculator!$B$12+BondCalculator!$B$7,N299+L300,BondCalculator!$B$12+BondCalculator!$B$7))</f>
        <v>0</v>
      </c>
      <c r="L300" s="51">
        <f>J300*BondCalculator!$B$5/12</f>
        <v>0</v>
      </c>
      <c r="M300" s="51">
        <f t="shared" si="38"/>
        <v>0</v>
      </c>
      <c r="N300" s="51">
        <f t="shared" si="39"/>
        <v>0</v>
      </c>
      <c r="P300" s="51">
        <f t="shared" si="40"/>
        <v>0</v>
      </c>
      <c r="Q300" s="63">
        <f>-PV(BondCalculator!$B$9/12,B300,0,1,0)</f>
        <v>0.22734199058525389</v>
      </c>
      <c r="S300" s="64">
        <f t="shared" si="41"/>
        <v>0</v>
      </c>
    </row>
    <row r="301" spans="1:19" ht="16.05" customHeight="1" x14ac:dyDescent="0.25">
      <c r="A301" s="61" t="s">
        <v>119</v>
      </c>
      <c r="B301" s="72">
        <v>298</v>
      </c>
      <c r="C301" s="12">
        <f t="shared" si="44"/>
        <v>0</v>
      </c>
      <c r="D301" s="12">
        <f>IF(G300=0,0,IF(G300&lt;BondCalculator!$B$12,G300+E301,BondCalculator!$B$12))</f>
        <v>0</v>
      </c>
      <c r="E301" s="12">
        <f>C301*BondCalculator!$B$5/12</f>
        <v>0</v>
      </c>
      <c r="F301" s="12">
        <f t="shared" si="36"/>
        <v>0</v>
      </c>
      <c r="G301" s="12">
        <f t="shared" si="42"/>
        <v>0</v>
      </c>
      <c r="H301" s="22">
        <f t="shared" si="43"/>
        <v>0</v>
      </c>
      <c r="J301" s="51">
        <f t="shared" si="37"/>
        <v>0</v>
      </c>
      <c r="K301" s="51">
        <f>IF(N300=0,0,IF(N300&lt;BondCalculator!$B$12+BondCalculator!$B$7,N300+L301,BondCalculator!$B$12+BondCalculator!$B$7))</f>
        <v>0</v>
      </c>
      <c r="L301" s="51">
        <f>J301*BondCalculator!$B$5/12</f>
        <v>0</v>
      </c>
      <c r="M301" s="51">
        <f t="shared" si="38"/>
        <v>0</v>
      </c>
      <c r="N301" s="51">
        <f t="shared" si="39"/>
        <v>0</v>
      </c>
      <c r="P301" s="51">
        <f t="shared" si="40"/>
        <v>0</v>
      </c>
      <c r="Q301" s="63">
        <f>-PV(BondCalculator!$B$9/12,B301,0,1,0)</f>
        <v>0.22621093590572533</v>
      </c>
      <c r="S301" s="64">
        <f t="shared" si="41"/>
        <v>0</v>
      </c>
    </row>
    <row r="302" spans="1:19" ht="16.05" customHeight="1" x14ac:dyDescent="0.25">
      <c r="A302" s="61" t="s">
        <v>119</v>
      </c>
      <c r="B302" s="72">
        <v>299</v>
      </c>
      <c r="C302" s="12">
        <f t="shared" si="44"/>
        <v>0</v>
      </c>
      <c r="D302" s="12">
        <f>IF(G301=0,0,IF(G301&lt;BondCalculator!$B$12,G301+E302,BondCalculator!$B$12))</f>
        <v>0</v>
      </c>
      <c r="E302" s="12">
        <f>C302*BondCalculator!$B$5/12</f>
        <v>0</v>
      </c>
      <c r="F302" s="12">
        <f t="shared" si="36"/>
        <v>0</v>
      </c>
      <c r="G302" s="12">
        <f t="shared" si="42"/>
        <v>0</v>
      </c>
      <c r="H302" s="22">
        <f t="shared" si="43"/>
        <v>0</v>
      </c>
      <c r="J302" s="51">
        <f t="shared" si="37"/>
        <v>0</v>
      </c>
      <c r="K302" s="51">
        <f>IF(N301=0,0,IF(N301&lt;BondCalculator!$B$12+BondCalculator!$B$7,N301+L302,BondCalculator!$B$12+BondCalculator!$B$7))</f>
        <v>0</v>
      </c>
      <c r="L302" s="51">
        <f>J302*BondCalculator!$B$5/12</f>
        <v>0</v>
      </c>
      <c r="M302" s="51">
        <f t="shared" si="38"/>
        <v>0</v>
      </c>
      <c r="N302" s="51">
        <f t="shared" si="39"/>
        <v>0</v>
      </c>
      <c r="P302" s="51">
        <f t="shared" si="40"/>
        <v>0</v>
      </c>
      <c r="Q302" s="63">
        <f>-PV(BondCalculator!$B$9/12,B302,0,1,0)</f>
        <v>0.22508550836390581</v>
      </c>
      <c r="S302" s="64">
        <f t="shared" si="41"/>
        <v>0</v>
      </c>
    </row>
    <row r="303" spans="1:19" ht="16.05" customHeight="1" x14ac:dyDescent="0.25">
      <c r="A303" s="61" t="s">
        <v>119</v>
      </c>
      <c r="B303" s="72">
        <v>300</v>
      </c>
      <c r="C303" s="12">
        <f t="shared" si="44"/>
        <v>0</v>
      </c>
      <c r="D303" s="12">
        <f>IF(G302=0,0,IF(G302&lt;BondCalculator!$B$12,G302+E303,BondCalculator!$B$12))</f>
        <v>0</v>
      </c>
      <c r="E303" s="12">
        <f>C303*BondCalculator!$B$5/12</f>
        <v>0</v>
      </c>
      <c r="F303" s="12">
        <f t="shared" si="36"/>
        <v>0</v>
      </c>
      <c r="G303" s="12">
        <f t="shared" si="42"/>
        <v>0</v>
      </c>
      <c r="H303" s="22">
        <f t="shared" si="43"/>
        <v>0</v>
      </c>
      <c r="J303" s="51">
        <f t="shared" si="37"/>
        <v>0</v>
      </c>
      <c r="K303" s="51">
        <f>IF(N302=0,0,IF(N302&lt;BondCalculator!$B$12+BondCalculator!$B$7,N302+L303,BondCalculator!$B$12+BondCalculator!$B$7))</f>
        <v>0</v>
      </c>
      <c r="L303" s="51">
        <f>J303*BondCalculator!$B$5/12</f>
        <v>0</v>
      </c>
      <c r="M303" s="51">
        <f t="shared" si="38"/>
        <v>0</v>
      </c>
      <c r="N303" s="51">
        <f t="shared" si="39"/>
        <v>0</v>
      </c>
      <c r="P303" s="51">
        <f t="shared" si="40"/>
        <v>0</v>
      </c>
      <c r="Q303" s="63">
        <f>-PV(BondCalculator!$B$9/12,B303,0,1,0)</f>
        <v>0.22396567996408542</v>
      </c>
      <c r="S303" s="64">
        <f t="shared" si="41"/>
        <v>0</v>
      </c>
    </row>
    <row r="304" spans="1:19" ht="16.05" customHeight="1" x14ac:dyDescent="0.25">
      <c r="A304" s="61" t="s">
        <v>120</v>
      </c>
      <c r="B304" s="72">
        <v>301</v>
      </c>
      <c r="C304" s="12">
        <f t="shared" si="44"/>
        <v>0</v>
      </c>
      <c r="D304" s="12">
        <f>IF(G303=0,0,IF(G303&lt;BondCalculator!$B$12,G303+E304,BondCalculator!$B$12))</f>
        <v>0</v>
      </c>
      <c r="E304" s="12">
        <f>C304*BondCalculator!$B$5/12</f>
        <v>0</v>
      </c>
      <c r="F304" s="12">
        <f t="shared" si="36"/>
        <v>0</v>
      </c>
      <c r="G304" s="12">
        <f t="shared" si="42"/>
        <v>0</v>
      </c>
      <c r="H304" s="22">
        <f t="shared" si="43"/>
        <v>0</v>
      </c>
      <c r="J304" s="51">
        <f t="shared" si="37"/>
        <v>0</v>
      </c>
      <c r="K304" s="51">
        <f>IF(N303=0,0,IF(N303&lt;BondCalculator!$B$12+BondCalculator!$B$7,N303+L304,BondCalculator!$B$12+BondCalculator!$B$7))</f>
        <v>0</v>
      </c>
      <c r="L304" s="51">
        <f>J304*BondCalculator!$B$5/12</f>
        <v>0</v>
      </c>
      <c r="M304" s="51">
        <f t="shared" si="38"/>
        <v>0</v>
      </c>
      <c r="N304" s="51">
        <f t="shared" si="39"/>
        <v>0</v>
      </c>
      <c r="P304" s="51">
        <f t="shared" si="40"/>
        <v>0</v>
      </c>
      <c r="Q304" s="63">
        <f>-PV(BondCalculator!$B$9/12,B304,0,1,0)</f>
        <v>0.22285142284983631</v>
      </c>
      <c r="S304" s="64">
        <f t="shared" si="41"/>
        <v>0</v>
      </c>
    </row>
    <row r="305" spans="1:19" ht="16.05" customHeight="1" x14ac:dyDescent="0.25">
      <c r="A305" s="61" t="s">
        <v>120</v>
      </c>
      <c r="B305" s="72">
        <v>302</v>
      </c>
      <c r="C305" s="12">
        <f t="shared" si="44"/>
        <v>0</v>
      </c>
      <c r="D305" s="12">
        <f>IF(G304=0,0,IF(G304&lt;BondCalculator!$B$12,G304+E305,BondCalculator!$B$12))</f>
        <v>0</v>
      </c>
      <c r="E305" s="12">
        <f>C305*BondCalculator!$B$5/12</f>
        <v>0</v>
      </c>
      <c r="F305" s="12">
        <f t="shared" si="36"/>
        <v>0</v>
      </c>
      <c r="G305" s="12">
        <f t="shared" si="42"/>
        <v>0</v>
      </c>
      <c r="H305" s="22">
        <f t="shared" si="43"/>
        <v>0</v>
      </c>
      <c r="J305" s="51">
        <f t="shared" si="37"/>
        <v>0</v>
      </c>
      <c r="K305" s="51">
        <f>IF(N304=0,0,IF(N304&lt;BondCalculator!$B$12+BondCalculator!$B$7,N304+L305,BondCalculator!$B$12+BondCalculator!$B$7))</f>
        <v>0</v>
      </c>
      <c r="L305" s="51">
        <f>J305*BondCalculator!$B$5/12</f>
        <v>0</v>
      </c>
      <c r="M305" s="51">
        <f t="shared" si="38"/>
        <v>0</v>
      </c>
      <c r="N305" s="51">
        <f t="shared" si="39"/>
        <v>0</v>
      </c>
      <c r="P305" s="51">
        <f t="shared" si="40"/>
        <v>0</v>
      </c>
      <c r="Q305" s="63">
        <f>-PV(BondCalculator!$B$9/12,B305,0,1,0)</f>
        <v>0.22174270930331974</v>
      </c>
      <c r="S305" s="64">
        <f t="shared" si="41"/>
        <v>0</v>
      </c>
    </row>
    <row r="306" spans="1:19" ht="16.05" customHeight="1" x14ac:dyDescent="0.25">
      <c r="A306" s="61" t="s">
        <v>120</v>
      </c>
      <c r="B306" s="72">
        <v>303</v>
      </c>
      <c r="C306" s="12">
        <f t="shared" si="44"/>
        <v>0</v>
      </c>
      <c r="D306" s="12">
        <f>IF(G305=0,0,IF(G305&lt;BondCalculator!$B$12,G305+E306,BondCalculator!$B$12))</f>
        <v>0</v>
      </c>
      <c r="E306" s="12">
        <f>C306*BondCalculator!$B$5/12</f>
        <v>0</v>
      </c>
      <c r="F306" s="12">
        <f t="shared" si="36"/>
        <v>0</v>
      </c>
      <c r="G306" s="12">
        <f t="shared" si="42"/>
        <v>0</v>
      </c>
      <c r="H306" s="22">
        <f t="shared" si="43"/>
        <v>0</v>
      </c>
      <c r="J306" s="51">
        <f t="shared" si="37"/>
        <v>0</v>
      </c>
      <c r="K306" s="51">
        <f>IF(N305=0,0,IF(N305&lt;BondCalculator!$B$12+BondCalculator!$B$7,N305+L306,BondCalculator!$B$12+BondCalculator!$B$7))</f>
        <v>0</v>
      </c>
      <c r="L306" s="51">
        <f>J306*BondCalculator!$B$5/12</f>
        <v>0</v>
      </c>
      <c r="M306" s="51">
        <f t="shared" si="38"/>
        <v>0</v>
      </c>
      <c r="N306" s="51">
        <f t="shared" si="39"/>
        <v>0</v>
      </c>
      <c r="P306" s="51">
        <f t="shared" si="40"/>
        <v>0</v>
      </c>
      <c r="Q306" s="63">
        <f>-PV(BondCalculator!$B$9/12,B306,0,1,0)</f>
        <v>0.22063951174459681</v>
      </c>
      <c r="S306" s="64">
        <f t="shared" si="41"/>
        <v>0</v>
      </c>
    </row>
    <row r="307" spans="1:19" ht="16.05" customHeight="1" x14ac:dyDescent="0.25">
      <c r="A307" s="61" t="s">
        <v>120</v>
      </c>
      <c r="B307" s="72">
        <v>304</v>
      </c>
      <c r="C307" s="12">
        <f t="shared" si="44"/>
        <v>0</v>
      </c>
      <c r="D307" s="12">
        <f>IF(G306=0,0,IF(G306&lt;BondCalculator!$B$12,G306+E307,BondCalculator!$B$12))</f>
        <v>0</v>
      </c>
      <c r="E307" s="12">
        <f>C307*BondCalculator!$B$5/12</f>
        <v>0</v>
      </c>
      <c r="F307" s="12">
        <f t="shared" si="36"/>
        <v>0</v>
      </c>
      <c r="G307" s="12">
        <f t="shared" si="42"/>
        <v>0</v>
      </c>
      <c r="H307" s="22">
        <f t="shared" si="43"/>
        <v>0</v>
      </c>
      <c r="J307" s="51">
        <f t="shared" si="37"/>
        <v>0</v>
      </c>
      <c r="K307" s="51">
        <f>IF(N306=0,0,IF(N306&lt;BondCalculator!$B$12+BondCalculator!$B$7,N306+L307,BondCalculator!$B$12+BondCalculator!$B$7))</f>
        <v>0</v>
      </c>
      <c r="L307" s="51">
        <f>J307*BondCalculator!$B$5/12</f>
        <v>0</v>
      </c>
      <c r="M307" s="51">
        <f t="shared" si="38"/>
        <v>0</v>
      </c>
      <c r="N307" s="51">
        <f t="shared" si="39"/>
        <v>0</v>
      </c>
      <c r="P307" s="51">
        <f t="shared" si="40"/>
        <v>0</v>
      </c>
      <c r="Q307" s="63">
        <f>-PV(BondCalculator!$B$9/12,B307,0,1,0)</f>
        <v>0.21954180273094215</v>
      </c>
      <c r="S307" s="64">
        <f t="shared" si="41"/>
        <v>0</v>
      </c>
    </row>
    <row r="308" spans="1:19" ht="16.05" customHeight="1" x14ac:dyDescent="0.25">
      <c r="A308" s="61" t="s">
        <v>120</v>
      </c>
      <c r="B308" s="72">
        <v>305</v>
      </c>
      <c r="C308" s="12">
        <f t="shared" si="44"/>
        <v>0</v>
      </c>
      <c r="D308" s="12">
        <f>IF(G307=0,0,IF(G307&lt;BondCalculator!$B$12,G307+E308,BondCalculator!$B$12))</f>
        <v>0</v>
      </c>
      <c r="E308" s="12">
        <f>C308*BondCalculator!$B$5/12</f>
        <v>0</v>
      </c>
      <c r="F308" s="12">
        <f t="shared" ref="F308:F363" si="45">D308-E308</f>
        <v>0</v>
      </c>
      <c r="G308" s="12">
        <f t="shared" si="42"/>
        <v>0</v>
      </c>
      <c r="H308" s="22">
        <f t="shared" si="43"/>
        <v>0</v>
      </c>
      <c r="J308" s="51">
        <f t="shared" ref="J308:J363" si="46">IF(ROUND(N307,0)&gt;0,N307,0)</f>
        <v>0</v>
      </c>
      <c r="K308" s="51">
        <f>IF(N307=0,0,IF(N307&lt;BondCalculator!$B$12+BondCalculator!$B$7,N307+L308,BondCalculator!$B$12+BondCalculator!$B$7))</f>
        <v>0</v>
      </c>
      <c r="L308" s="51">
        <f>J308*BondCalculator!$B$5/12</f>
        <v>0</v>
      </c>
      <c r="M308" s="51">
        <f t="shared" ref="M308:M363" si="47">IF(K308-L308&gt;N307,N307,K308-L308)</f>
        <v>0</v>
      </c>
      <c r="N308" s="51">
        <f t="shared" ref="N308:N363" si="48">J308-M308</f>
        <v>0</v>
      </c>
      <c r="P308" s="51">
        <f t="shared" ref="P308:P363" si="49">E308-L308</f>
        <v>0</v>
      </c>
      <c r="Q308" s="63">
        <f>-PV(BondCalculator!$B$9/12,B308,0,1,0)</f>
        <v>0.21844955495616133</v>
      </c>
      <c r="S308" s="64">
        <f t="shared" si="41"/>
        <v>0</v>
      </c>
    </row>
    <row r="309" spans="1:19" ht="16.05" customHeight="1" x14ac:dyDescent="0.25">
      <c r="A309" s="61" t="s">
        <v>120</v>
      </c>
      <c r="B309" s="72">
        <v>306</v>
      </c>
      <c r="C309" s="12">
        <f t="shared" si="44"/>
        <v>0</v>
      </c>
      <c r="D309" s="12">
        <f>IF(G308=0,0,IF(G308&lt;BondCalculator!$B$12,G308+E309,BondCalculator!$B$12))</f>
        <v>0</v>
      </c>
      <c r="E309" s="12">
        <f>C309*BondCalculator!$B$5/12</f>
        <v>0</v>
      </c>
      <c r="F309" s="12">
        <f t="shared" si="45"/>
        <v>0</v>
      </c>
      <c r="G309" s="12">
        <f t="shared" si="42"/>
        <v>0</v>
      </c>
      <c r="H309" s="22">
        <f t="shared" si="43"/>
        <v>0</v>
      </c>
      <c r="J309" s="51">
        <f t="shared" si="46"/>
        <v>0</v>
      </c>
      <c r="K309" s="51">
        <f>IF(N308=0,0,IF(N308&lt;BondCalculator!$B$12+BondCalculator!$B$7,N308+L309,BondCalculator!$B$12+BondCalculator!$B$7))</f>
        <v>0</v>
      </c>
      <c r="L309" s="51">
        <f>J309*BondCalculator!$B$5/12</f>
        <v>0</v>
      </c>
      <c r="M309" s="51">
        <f t="shared" si="47"/>
        <v>0</v>
      </c>
      <c r="N309" s="51">
        <f t="shared" si="48"/>
        <v>0</v>
      </c>
      <c r="P309" s="51">
        <f t="shared" si="49"/>
        <v>0</v>
      </c>
      <c r="Q309" s="63">
        <f>-PV(BondCalculator!$B$9/12,B309,0,1,0)</f>
        <v>0.21736274124991184</v>
      </c>
      <c r="S309" s="64">
        <f t="shared" si="41"/>
        <v>0</v>
      </c>
    </row>
    <row r="310" spans="1:19" ht="16.05" customHeight="1" x14ac:dyDescent="0.25">
      <c r="A310" s="61" t="s">
        <v>120</v>
      </c>
      <c r="B310" s="72">
        <v>307</v>
      </c>
      <c r="C310" s="12">
        <f t="shared" si="44"/>
        <v>0</v>
      </c>
      <c r="D310" s="12">
        <f>IF(G309=0,0,IF(G309&lt;BondCalculator!$B$12,G309+E310,BondCalculator!$B$12))</f>
        <v>0</v>
      </c>
      <c r="E310" s="12">
        <f>C310*BondCalculator!$B$5/12</f>
        <v>0</v>
      </c>
      <c r="F310" s="12">
        <f t="shared" si="45"/>
        <v>0</v>
      </c>
      <c r="G310" s="12">
        <f t="shared" si="42"/>
        <v>0</v>
      </c>
      <c r="H310" s="22">
        <f t="shared" si="43"/>
        <v>0</v>
      </c>
      <c r="J310" s="51">
        <f t="shared" si="46"/>
        <v>0</v>
      </c>
      <c r="K310" s="51">
        <f>IF(N309=0,0,IF(N309&lt;BondCalculator!$B$12+BondCalculator!$B$7,N309+L310,BondCalculator!$B$12+BondCalculator!$B$7))</f>
        <v>0</v>
      </c>
      <c r="L310" s="51">
        <f>J310*BondCalculator!$B$5/12</f>
        <v>0</v>
      </c>
      <c r="M310" s="51">
        <f t="shared" si="47"/>
        <v>0</v>
      </c>
      <c r="N310" s="51">
        <f t="shared" si="48"/>
        <v>0</v>
      </c>
      <c r="P310" s="51">
        <f t="shared" si="49"/>
        <v>0</v>
      </c>
      <c r="Q310" s="63">
        <f>-PV(BondCalculator!$B$9/12,B310,0,1,0)</f>
        <v>0.2162813345770267</v>
      </c>
      <c r="S310" s="64">
        <f t="shared" si="41"/>
        <v>0</v>
      </c>
    </row>
    <row r="311" spans="1:19" ht="16.05" customHeight="1" x14ac:dyDescent="0.25">
      <c r="A311" s="61" t="s">
        <v>120</v>
      </c>
      <c r="B311" s="72">
        <v>308</v>
      </c>
      <c r="C311" s="12">
        <f t="shared" si="44"/>
        <v>0</v>
      </c>
      <c r="D311" s="12">
        <f>IF(G310=0,0,IF(G310&lt;BondCalculator!$B$12,G310+E311,BondCalculator!$B$12))</f>
        <v>0</v>
      </c>
      <c r="E311" s="12">
        <f>C311*BondCalculator!$B$5/12</f>
        <v>0</v>
      </c>
      <c r="F311" s="12">
        <f t="shared" si="45"/>
        <v>0</v>
      </c>
      <c r="G311" s="12">
        <f t="shared" si="42"/>
        <v>0</v>
      </c>
      <c r="H311" s="22">
        <f t="shared" si="43"/>
        <v>0</v>
      </c>
      <c r="J311" s="51">
        <f t="shared" si="46"/>
        <v>0</v>
      </c>
      <c r="K311" s="51">
        <f>IF(N310=0,0,IF(N310&lt;BondCalculator!$B$12+BondCalculator!$B$7,N310+L311,BondCalculator!$B$12+BondCalculator!$B$7))</f>
        <v>0</v>
      </c>
      <c r="L311" s="51">
        <f>J311*BondCalculator!$B$5/12</f>
        <v>0</v>
      </c>
      <c r="M311" s="51">
        <f t="shared" si="47"/>
        <v>0</v>
      </c>
      <c r="N311" s="51">
        <f t="shared" si="48"/>
        <v>0</v>
      </c>
      <c r="P311" s="51">
        <f t="shared" si="49"/>
        <v>0</v>
      </c>
      <c r="Q311" s="63">
        <f>-PV(BondCalculator!$B$9/12,B311,0,1,0)</f>
        <v>0.21520530803684254</v>
      </c>
      <c r="S311" s="64">
        <f t="shared" si="41"/>
        <v>0</v>
      </c>
    </row>
    <row r="312" spans="1:19" ht="16.05" customHeight="1" x14ac:dyDescent="0.25">
      <c r="A312" s="61" t="s">
        <v>120</v>
      </c>
      <c r="B312" s="72">
        <v>309</v>
      </c>
      <c r="C312" s="12">
        <f t="shared" si="44"/>
        <v>0</v>
      </c>
      <c r="D312" s="12">
        <f>IF(G311=0,0,IF(G311&lt;BondCalculator!$B$12,G311+E312,BondCalculator!$B$12))</f>
        <v>0</v>
      </c>
      <c r="E312" s="12">
        <f>C312*BondCalculator!$B$5/12</f>
        <v>0</v>
      </c>
      <c r="F312" s="12">
        <f t="shared" si="45"/>
        <v>0</v>
      </c>
      <c r="G312" s="12">
        <f t="shared" si="42"/>
        <v>0</v>
      </c>
      <c r="H312" s="22">
        <f t="shared" si="43"/>
        <v>0</v>
      </c>
      <c r="J312" s="51">
        <f t="shared" si="46"/>
        <v>0</v>
      </c>
      <c r="K312" s="51">
        <f>IF(N311=0,0,IF(N311&lt;BondCalculator!$B$12+BondCalculator!$B$7,N311+L312,BondCalculator!$B$12+BondCalculator!$B$7))</f>
        <v>0</v>
      </c>
      <c r="L312" s="51">
        <f>J312*BondCalculator!$B$5/12</f>
        <v>0</v>
      </c>
      <c r="M312" s="51">
        <f t="shared" si="47"/>
        <v>0</v>
      </c>
      <c r="N312" s="51">
        <f t="shared" si="48"/>
        <v>0</v>
      </c>
      <c r="P312" s="51">
        <f t="shared" si="49"/>
        <v>0</v>
      </c>
      <c r="Q312" s="63">
        <f>-PV(BondCalculator!$B$9/12,B312,0,1,0)</f>
        <v>0.21413463486252993</v>
      </c>
      <c r="S312" s="64">
        <f t="shared" si="41"/>
        <v>0</v>
      </c>
    </row>
    <row r="313" spans="1:19" ht="16.05" customHeight="1" x14ac:dyDescent="0.25">
      <c r="A313" s="61" t="s">
        <v>120</v>
      </c>
      <c r="B313" s="72">
        <v>310</v>
      </c>
      <c r="C313" s="12">
        <f t="shared" si="44"/>
        <v>0</v>
      </c>
      <c r="D313" s="12">
        <f>IF(G312=0,0,IF(G312&lt;BondCalculator!$B$12,G312+E313,BondCalculator!$B$12))</f>
        <v>0</v>
      </c>
      <c r="E313" s="12">
        <f>C313*BondCalculator!$B$5/12</f>
        <v>0</v>
      </c>
      <c r="F313" s="12">
        <f t="shared" si="45"/>
        <v>0</v>
      </c>
      <c r="G313" s="12">
        <f t="shared" si="42"/>
        <v>0</v>
      </c>
      <c r="H313" s="22">
        <f t="shared" si="43"/>
        <v>0</v>
      </c>
      <c r="J313" s="51">
        <f t="shared" si="46"/>
        <v>0</v>
      </c>
      <c r="K313" s="51">
        <f>IF(N312=0,0,IF(N312&lt;BondCalculator!$B$12+BondCalculator!$B$7,N312+L313,BondCalculator!$B$12+BondCalculator!$B$7))</f>
        <v>0</v>
      </c>
      <c r="L313" s="51">
        <f>J313*BondCalculator!$B$5/12</f>
        <v>0</v>
      </c>
      <c r="M313" s="51">
        <f t="shared" si="47"/>
        <v>0</v>
      </c>
      <c r="N313" s="51">
        <f t="shared" si="48"/>
        <v>0</v>
      </c>
      <c r="P313" s="51">
        <f t="shared" si="49"/>
        <v>0</v>
      </c>
      <c r="Q313" s="63">
        <f>-PV(BondCalculator!$B$9/12,B313,0,1,0)</f>
        <v>0.21306928842042783</v>
      </c>
      <c r="S313" s="64">
        <f t="shared" si="41"/>
        <v>0</v>
      </c>
    </row>
    <row r="314" spans="1:19" ht="16.05" customHeight="1" x14ac:dyDescent="0.25">
      <c r="A314" s="61" t="s">
        <v>120</v>
      </c>
      <c r="B314" s="72">
        <v>311</v>
      </c>
      <c r="C314" s="12">
        <f t="shared" si="44"/>
        <v>0</v>
      </c>
      <c r="D314" s="12">
        <f>IF(G313=0,0,IF(G313&lt;BondCalculator!$B$12,G313+E314,BondCalculator!$B$12))</f>
        <v>0</v>
      </c>
      <c r="E314" s="12">
        <f>C314*BondCalculator!$B$5/12</f>
        <v>0</v>
      </c>
      <c r="F314" s="12">
        <f t="shared" si="45"/>
        <v>0</v>
      </c>
      <c r="G314" s="12">
        <f t="shared" si="42"/>
        <v>0</v>
      </c>
      <c r="H314" s="22">
        <f t="shared" si="43"/>
        <v>0</v>
      </c>
      <c r="J314" s="51">
        <f t="shared" si="46"/>
        <v>0</v>
      </c>
      <c r="K314" s="51">
        <f>IF(N313=0,0,IF(N313&lt;BondCalculator!$B$12+BondCalculator!$B$7,N313+L314,BondCalculator!$B$12+BondCalculator!$B$7))</f>
        <v>0</v>
      </c>
      <c r="L314" s="51">
        <f>J314*BondCalculator!$B$5/12</f>
        <v>0</v>
      </c>
      <c r="M314" s="51">
        <f t="shared" si="47"/>
        <v>0</v>
      </c>
      <c r="N314" s="51">
        <f t="shared" si="48"/>
        <v>0</v>
      </c>
      <c r="P314" s="51">
        <f t="shared" si="49"/>
        <v>0</v>
      </c>
      <c r="Q314" s="63">
        <f>-PV(BondCalculator!$B$9/12,B314,0,1,0)</f>
        <v>0.21200924220938097</v>
      </c>
      <c r="S314" s="64">
        <f t="shared" si="41"/>
        <v>0</v>
      </c>
    </row>
    <row r="315" spans="1:19" ht="16.05" customHeight="1" x14ac:dyDescent="0.25">
      <c r="A315" s="61" t="s">
        <v>120</v>
      </c>
      <c r="B315" s="72">
        <v>312</v>
      </c>
      <c r="C315" s="12">
        <f t="shared" si="44"/>
        <v>0</v>
      </c>
      <c r="D315" s="12">
        <f>IF(G314=0,0,IF(G314&lt;BondCalculator!$B$12,G314+E315,BondCalculator!$B$12))</f>
        <v>0</v>
      </c>
      <c r="E315" s="12">
        <f>C315*BondCalculator!$B$5/12</f>
        <v>0</v>
      </c>
      <c r="F315" s="12">
        <f t="shared" si="45"/>
        <v>0</v>
      </c>
      <c r="G315" s="12">
        <f t="shared" si="42"/>
        <v>0</v>
      </c>
      <c r="H315" s="22">
        <f t="shared" si="43"/>
        <v>0</v>
      </c>
      <c r="J315" s="51">
        <f t="shared" si="46"/>
        <v>0</v>
      </c>
      <c r="K315" s="51">
        <f>IF(N314=0,0,IF(N314&lt;BondCalculator!$B$12+BondCalculator!$B$7,N314+L315,BondCalculator!$B$12+BondCalculator!$B$7))</f>
        <v>0</v>
      </c>
      <c r="L315" s="51">
        <f>J315*BondCalculator!$B$5/12</f>
        <v>0</v>
      </c>
      <c r="M315" s="51">
        <f t="shared" si="47"/>
        <v>0</v>
      </c>
      <c r="N315" s="51">
        <f t="shared" si="48"/>
        <v>0</v>
      </c>
      <c r="P315" s="51">
        <f t="shared" si="49"/>
        <v>0</v>
      </c>
      <c r="Q315" s="63">
        <f>-PV(BondCalculator!$B$9/12,B315,0,1,0)</f>
        <v>0.21095446986008054</v>
      </c>
      <c r="S315" s="64">
        <f t="shared" si="41"/>
        <v>0</v>
      </c>
    </row>
    <row r="316" spans="1:19" ht="16.05" customHeight="1" x14ac:dyDescent="0.25">
      <c r="A316" s="61" t="s">
        <v>121</v>
      </c>
      <c r="B316" s="72">
        <v>313</v>
      </c>
      <c r="C316" s="12">
        <f t="shared" si="44"/>
        <v>0</v>
      </c>
      <c r="D316" s="12">
        <f>IF(G315=0,0,IF(G315&lt;BondCalculator!$B$12,G315+E316,BondCalculator!$B$12))</f>
        <v>0</v>
      </c>
      <c r="E316" s="12">
        <f>C316*BondCalculator!$B$5/12</f>
        <v>0</v>
      </c>
      <c r="F316" s="12">
        <f t="shared" si="45"/>
        <v>0</v>
      </c>
      <c r="G316" s="12">
        <f t="shared" si="42"/>
        <v>0</v>
      </c>
      <c r="H316" s="22">
        <f t="shared" si="43"/>
        <v>0</v>
      </c>
      <c r="J316" s="51">
        <f t="shared" si="46"/>
        <v>0</v>
      </c>
      <c r="K316" s="51">
        <f>IF(N315=0,0,IF(N315&lt;BondCalculator!$B$12+BondCalculator!$B$7,N315+L316,BondCalculator!$B$12+BondCalculator!$B$7))</f>
        <v>0</v>
      </c>
      <c r="L316" s="51">
        <f>J316*BondCalculator!$B$5/12</f>
        <v>0</v>
      </c>
      <c r="M316" s="51">
        <f t="shared" si="47"/>
        <v>0</v>
      </c>
      <c r="N316" s="51">
        <f t="shared" si="48"/>
        <v>0</v>
      </c>
      <c r="P316" s="51">
        <f t="shared" si="49"/>
        <v>0</v>
      </c>
      <c r="Q316" s="63">
        <f>-PV(BondCalculator!$B$9/12,B316,0,1,0)</f>
        <v>0.20990494513440855</v>
      </c>
      <c r="S316" s="64">
        <f t="shared" si="41"/>
        <v>0</v>
      </c>
    </row>
    <row r="317" spans="1:19" ht="16.05" customHeight="1" x14ac:dyDescent="0.25">
      <c r="A317" s="61" t="s">
        <v>121</v>
      </c>
      <c r="B317" s="72">
        <v>314</v>
      </c>
      <c r="C317" s="12">
        <f t="shared" si="44"/>
        <v>0</v>
      </c>
      <c r="D317" s="12">
        <f>IF(G316=0,0,IF(G316&lt;BondCalculator!$B$12,G316+E317,BondCalculator!$B$12))</f>
        <v>0</v>
      </c>
      <c r="E317" s="12">
        <f>C317*BondCalculator!$B$5/12</f>
        <v>0</v>
      </c>
      <c r="F317" s="12">
        <f t="shared" si="45"/>
        <v>0</v>
      </c>
      <c r="G317" s="12">
        <f t="shared" si="42"/>
        <v>0</v>
      </c>
      <c r="H317" s="22">
        <f t="shared" si="43"/>
        <v>0</v>
      </c>
      <c r="J317" s="51">
        <f t="shared" si="46"/>
        <v>0</v>
      </c>
      <c r="K317" s="51">
        <f>IF(N316=0,0,IF(N316&lt;BondCalculator!$B$12+BondCalculator!$B$7,N316+L317,BondCalculator!$B$12+BondCalculator!$B$7))</f>
        <v>0</v>
      </c>
      <c r="L317" s="51">
        <f>J317*BondCalculator!$B$5/12</f>
        <v>0</v>
      </c>
      <c r="M317" s="51">
        <f t="shared" si="47"/>
        <v>0</v>
      </c>
      <c r="N317" s="51">
        <f t="shared" si="48"/>
        <v>0</v>
      </c>
      <c r="P317" s="51">
        <f t="shared" si="49"/>
        <v>0</v>
      </c>
      <c r="Q317" s="63">
        <f>-PV(BondCalculator!$B$9/12,B317,0,1,0)</f>
        <v>0.20886064192478465</v>
      </c>
      <c r="S317" s="64">
        <f t="shared" si="41"/>
        <v>0</v>
      </c>
    </row>
    <row r="318" spans="1:19" ht="16.05" customHeight="1" x14ac:dyDescent="0.25">
      <c r="A318" s="61" t="s">
        <v>121</v>
      </c>
      <c r="B318" s="72">
        <v>315</v>
      </c>
      <c r="C318" s="12">
        <f t="shared" si="44"/>
        <v>0</v>
      </c>
      <c r="D318" s="12">
        <f>IF(G317=0,0,IF(G317&lt;BondCalculator!$B$12,G317+E318,BondCalculator!$B$12))</f>
        <v>0</v>
      </c>
      <c r="E318" s="12">
        <f>C318*BondCalculator!$B$5/12</f>
        <v>0</v>
      </c>
      <c r="F318" s="12">
        <f t="shared" si="45"/>
        <v>0</v>
      </c>
      <c r="G318" s="12">
        <f t="shared" si="42"/>
        <v>0</v>
      </c>
      <c r="H318" s="22">
        <f t="shared" si="43"/>
        <v>0</v>
      </c>
      <c r="J318" s="51">
        <f t="shared" si="46"/>
        <v>0</v>
      </c>
      <c r="K318" s="51">
        <f>IF(N317=0,0,IF(N317&lt;BondCalculator!$B$12+BondCalculator!$B$7,N317+L318,BondCalculator!$B$12+BondCalculator!$B$7))</f>
        <v>0</v>
      </c>
      <c r="L318" s="51">
        <f>J318*BondCalculator!$B$5/12</f>
        <v>0</v>
      </c>
      <c r="M318" s="51">
        <f t="shared" si="47"/>
        <v>0</v>
      </c>
      <c r="N318" s="51">
        <f t="shared" si="48"/>
        <v>0</v>
      </c>
      <c r="P318" s="51">
        <f t="shared" si="49"/>
        <v>0</v>
      </c>
      <c r="Q318" s="63">
        <f>-PV(BondCalculator!$B$9/12,B318,0,1,0)</f>
        <v>0.2078215342535171</v>
      </c>
      <c r="S318" s="64">
        <f t="shared" si="41"/>
        <v>0</v>
      </c>
    </row>
    <row r="319" spans="1:19" ht="16.05" customHeight="1" x14ac:dyDescent="0.25">
      <c r="A319" s="61" t="s">
        <v>121</v>
      </c>
      <c r="B319" s="72">
        <v>316</v>
      </c>
      <c r="C319" s="12">
        <f t="shared" si="44"/>
        <v>0</v>
      </c>
      <c r="D319" s="12">
        <f>IF(G318=0,0,IF(G318&lt;BondCalculator!$B$12,G318+E319,BondCalculator!$B$12))</f>
        <v>0</v>
      </c>
      <c r="E319" s="12">
        <f>C319*BondCalculator!$B$5/12</f>
        <v>0</v>
      </c>
      <c r="F319" s="12">
        <f t="shared" si="45"/>
        <v>0</v>
      </c>
      <c r="G319" s="12">
        <f t="shared" si="42"/>
        <v>0</v>
      </c>
      <c r="H319" s="22">
        <f t="shared" si="43"/>
        <v>0</v>
      </c>
      <c r="J319" s="51">
        <f t="shared" si="46"/>
        <v>0</v>
      </c>
      <c r="K319" s="51">
        <f>IF(N318=0,0,IF(N318&lt;BondCalculator!$B$12+BondCalculator!$B$7,N318+L319,BondCalculator!$B$12+BondCalculator!$B$7))</f>
        <v>0</v>
      </c>
      <c r="L319" s="51">
        <f>J319*BondCalculator!$B$5/12</f>
        <v>0</v>
      </c>
      <c r="M319" s="51">
        <f t="shared" si="47"/>
        <v>0</v>
      </c>
      <c r="N319" s="51">
        <f t="shared" si="48"/>
        <v>0</v>
      </c>
      <c r="P319" s="51">
        <f t="shared" si="49"/>
        <v>0</v>
      </c>
      <c r="Q319" s="63">
        <f>-PV(BondCalculator!$B$9/12,B319,0,1,0)</f>
        <v>0.20678759627215637</v>
      </c>
      <c r="S319" s="64">
        <f t="shared" si="41"/>
        <v>0</v>
      </c>
    </row>
    <row r="320" spans="1:19" ht="16.05" customHeight="1" x14ac:dyDescent="0.25">
      <c r="A320" s="61" t="s">
        <v>121</v>
      </c>
      <c r="B320" s="72">
        <v>317</v>
      </c>
      <c r="C320" s="12">
        <f t="shared" si="44"/>
        <v>0</v>
      </c>
      <c r="D320" s="12">
        <f>IF(G319=0,0,IF(G319&lt;BondCalculator!$B$12,G319+E320,BondCalculator!$B$12))</f>
        <v>0</v>
      </c>
      <c r="E320" s="12">
        <f>C320*BondCalculator!$B$5/12</f>
        <v>0</v>
      </c>
      <c r="F320" s="12">
        <f t="shared" si="45"/>
        <v>0</v>
      </c>
      <c r="G320" s="12">
        <f t="shared" si="42"/>
        <v>0</v>
      </c>
      <c r="H320" s="22">
        <f t="shared" si="43"/>
        <v>0</v>
      </c>
      <c r="J320" s="51">
        <f t="shared" si="46"/>
        <v>0</v>
      </c>
      <c r="K320" s="51">
        <f>IF(N319=0,0,IF(N319&lt;BondCalculator!$B$12+BondCalculator!$B$7,N319+L320,BondCalculator!$B$12+BondCalculator!$B$7))</f>
        <v>0</v>
      </c>
      <c r="L320" s="51">
        <f>J320*BondCalculator!$B$5/12</f>
        <v>0</v>
      </c>
      <c r="M320" s="51">
        <f t="shared" si="47"/>
        <v>0</v>
      </c>
      <c r="N320" s="51">
        <f t="shared" si="48"/>
        <v>0</v>
      </c>
      <c r="P320" s="51">
        <f t="shared" si="49"/>
        <v>0</v>
      </c>
      <c r="Q320" s="63">
        <f>-PV(BondCalculator!$B$9/12,B320,0,1,0)</f>
        <v>0.20575880226085214</v>
      </c>
      <c r="S320" s="64">
        <f t="shared" si="41"/>
        <v>0</v>
      </c>
    </row>
    <row r="321" spans="1:19" ht="16.05" customHeight="1" x14ac:dyDescent="0.25">
      <c r="A321" s="61" t="s">
        <v>121</v>
      </c>
      <c r="B321" s="72">
        <v>318</v>
      </c>
      <c r="C321" s="12">
        <f t="shared" si="44"/>
        <v>0</v>
      </c>
      <c r="D321" s="12">
        <f>IF(G320=0,0,IF(G320&lt;BondCalculator!$B$12,G320+E321,BondCalculator!$B$12))</f>
        <v>0</v>
      </c>
      <c r="E321" s="12">
        <f>C321*BondCalculator!$B$5/12</f>
        <v>0</v>
      </c>
      <c r="F321" s="12">
        <f t="shared" si="45"/>
        <v>0</v>
      </c>
      <c r="G321" s="12">
        <f t="shared" si="42"/>
        <v>0</v>
      </c>
      <c r="H321" s="22">
        <f t="shared" si="43"/>
        <v>0</v>
      </c>
      <c r="J321" s="51">
        <f t="shared" si="46"/>
        <v>0</v>
      </c>
      <c r="K321" s="51">
        <f>IF(N320=0,0,IF(N320&lt;BondCalculator!$B$12+BondCalculator!$B$7,N320+L321,BondCalculator!$B$12+BondCalculator!$B$7))</f>
        <v>0</v>
      </c>
      <c r="L321" s="51">
        <f>J321*BondCalculator!$B$5/12</f>
        <v>0</v>
      </c>
      <c r="M321" s="51">
        <f t="shared" si="47"/>
        <v>0</v>
      </c>
      <c r="N321" s="51">
        <f t="shared" si="48"/>
        <v>0</v>
      </c>
      <c r="P321" s="51">
        <f t="shared" si="49"/>
        <v>0</v>
      </c>
      <c r="Q321" s="63">
        <f>-PV(BondCalculator!$B$9/12,B321,0,1,0)</f>
        <v>0.20473512662771357</v>
      </c>
      <c r="S321" s="64">
        <f t="shared" si="41"/>
        <v>0</v>
      </c>
    </row>
    <row r="322" spans="1:19" ht="16.05" customHeight="1" x14ac:dyDescent="0.25">
      <c r="A322" s="61" t="s">
        <v>121</v>
      </c>
      <c r="B322" s="72">
        <v>319</v>
      </c>
      <c r="C322" s="12">
        <f t="shared" si="44"/>
        <v>0</v>
      </c>
      <c r="D322" s="12">
        <f>IF(G321=0,0,IF(G321&lt;BondCalculator!$B$12,G321+E322,BondCalculator!$B$12))</f>
        <v>0</v>
      </c>
      <c r="E322" s="12">
        <f>C322*BondCalculator!$B$5/12</f>
        <v>0</v>
      </c>
      <c r="F322" s="12">
        <f t="shared" si="45"/>
        <v>0</v>
      </c>
      <c r="G322" s="12">
        <f t="shared" si="42"/>
        <v>0</v>
      </c>
      <c r="H322" s="22">
        <f t="shared" si="43"/>
        <v>0</v>
      </c>
      <c r="J322" s="51">
        <f t="shared" si="46"/>
        <v>0</v>
      </c>
      <c r="K322" s="51">
        <f>IF(N321=0,0,IF(N321&lt;BondCalculator!$B$12+BondCalculator!$B$7,N321+L322,BondCalculator!$B$12+BondCalculator!$B$7))</f>
        <v>0</v>
      </c>
      <c r="L322" s="51">
        <f>J322*BondCalculator!$B$5/12</f>
        <v>0</v>
      </c>
      <c r="M322" s="51">
        <f t="shared" si="47"/>
        <v>0</v>
      </c>
      <c r="N322" s="51">
        <f t="shared" si="48"/>
        <v>0</v>
      </c>
      <c r="P322" s="51">
        <f t="shared" si="49"/>
        <v>0</v>
      </c>
      <c r="Q322" s="63">
        <f>-PV(BondCalculator!$B$9/12,B322,0,1,0)</f>
        <v>0.20371654390817276</v>
      </c>
      <c r="S322" s="64">
        <f t="shared" si="41"/>
        <v>0</v>
      </c>
    </row>
    <row r="323" spans="1:19" ht="16.05" customHeight="1" x14ac:dyDescent="0.25">
      <c r="A323" s="61" t="s">
        <v>121</v>
      </c>
      <c r="B323" s="72">
        <v>320</v>
      </c>
      <c r="C323" s="12">
        <f t="shared" si="44"/>
        <v>0</v>
      </c>
      <c r="D323" s="12">
        <f>IF(G322=0,0,IF(G322&lt;BondCalculator!$B$12,G322+E323,BondCalculator!$B$12))</f>
        <v>0</v>
      </c>
      <c r="E323" s="12">
        <f>C323*BondCalculator!$B$5/12</f>
        <v>0</v>
      </c>
      <c r="F323" s="12">
        <f t="shared" si="45"/>
        <v>0</v>
      </c>
      <c r="G323" s="12">
        <f t="shared" si="42"/>
        <v>0</v>
      </c>
      <c r="H323" s="22">
        <f t="shared" si="43"/>
        <v>0</v>
      </c>
      <c r="J323" s="51">
        <f t="shared" si="46"/>
        <v>0</v>
      </c>
      <c r="K323" s="51">
        <f>IF(N322=0,0,IF(N322&lt;BondCalculator!$B$12+BondCalculator!$B$7,N322+L323,BondCalculator!$B$12+BondCalculator!$B$7))</f>
        <v>0</v>
      </c>
      <c r="L323" s="51">
        <f>J323*BondCalculator!$B$5/12</f>
        <v>0</v>
      </c>
      <c r="M323" s="51">
        <f t="shared" si="47"/>
        <v>0</v>
      </c>
      <c r="N323" s="51">
        <f t="shared" si="48"/>
        <v>0</v>
      </c>
      <c r="P323" s="51">
        <f t="shared" si="49"/>
        <v>0</v>
      </c>
      <c r="Q323" s="63">
        <f>-PV(BondCalculator!$B$9/12,B323,0,1,0)</f>
        <v>0.20270302876435101</v>
      </c>
      <c r="S323" s="64">
        <f t="shared" si="41"/>
        <v>0</v>
      </c>
    </row>
    <row r="324" spans="1:19" ht="16.05" customHeight="1" x14ac:dyDescent="0.25">
      <c r="A324" s="61" t="s">
        <v>121</v>
      </c>
      <c r="B324" s="72">
        <v>321</v>
      </c>
      <c r="C324" s="12">
        <f t="shared" si="44"/>
        <v>0</v>
      </c>
      <c r="D324" s="12">
        <f>IF(G323=0,0,IF(G323&lt;BondCalculator!$B$12,G323+E324,BondCalculator!$B$12))</f>
        <v>0</v>
      </c>
      <c r="E324" s="12">
        <f>C324*BondCalculator!$B$5/12</f>
        <v>0</v>
      </c>
      <c r="F324" s="12">
        <f t="shared" si="45"/>
        <v>0</v>
      </c>
      <c r="G324" s="12">
        <f t="shared" si="42"/>
        <v>0</v>
      </c>
      <c r="H324" s="22">
        <f t="shared" si="43"/>
        <v>0</v>
      </c>
      <c r="J324" s="51">
        <f t="shared" si="46"/>
        <v>0</v>
      </c>
      <c r="K324" s="51">
        <f>IF(N323=0,0,IF(N323&lt;BondCalculator!$B$12+BondCalculator!$B$7,N323+L324,BondCalculator!$B$12+BondCalculator!$B$7))</f>
        <v>0</v>
      </c>
      <c r="L324" s="51">
        <f>J324*BondCalculator!$B$5/12</f>
        <v>0</v>
      </c>
      <c r="M324" s="51">
        <f t="shared" si="47"/>
        <v>0</v>
      </c>
      <c r="N324" s="51">
        <f t="shared" si="48"/>
        <v>0</v>
      </c>
      <c r="P324" s="51">
        <f t="shared" si="49"/>
        <v>0</v>
      </c>
      <c r="Q324" s="63">
        <f>-PV(BondCalculator!$B$9/12,B324,0,1,0)</f>
        <v>0.2016945559844289</v>
      </c>
      <c r="S324" s="64">
        <f t="shared" ref="S324:S363" si="50">P324*Q324</f>
        <v>0</v>
      </c>
    </row>
    <row r="325" spans="1:19" ht="16.05" customHeight="1" x14ac:dyDescent="0.25">
      <c r="A325" s="61" t="s">
        <v>121</v>
      </c>
      <c r="B325" s="72">
        <v>322</v>
      </c>
      <c r="C325" s="12">
        <f t="shared" si="44"/>
        <v>0</v>
      </c>
      <c r="D325" s="12">
        <f>IF(G324=0,0,IF(G324&lt;BondCalculator!$B$12,G324+E325,BondCalculator!$B$12))</f>
        <v>0</v>
      </c>
      <c r="E325" s="12">
        <f>C325*BondCalculator!$B$5/12</f>
        <v>0</v>
      </c>
      <c r="F325" s="12">
        <f t="shared" si="45"/>
        <v>0</v>
      </c>
      <c r="G325" s="12">
        <f t="shared" ref="G325:G363" si="51">IF(ROUND(C325-F325,2)=0,0,C325-F325)</f>
        <v>0</v>
      </c>
      <c r="H325" s="22">
        <f t="shared" ref="H325:H363" si="52">IF($C$4=0,0,G325/$C$4)</f>
        <v>0</v>
      </c>
      <c r="J325" s="51">
        <f t="shared" si="46"/>
        <v>0</v>
      </c>
      <c r="K325" s="51">
        <f>IF(N324=0,0,IF(N324&lt;BondCalculator!$B$12+BondCalculator!$B$7,N324+L325,BondCalculator!$B$12+BondCalculator!$B$7))</f>
        <v>0</v>
      </c>
      <c r="L325" s="51">
        <f>J325*BondCalculator!$B$5/12</f>
        <v>0</v>
      </c>
      <c r="M325" s="51">
        <f t="shared" si="47"/>
        <v>0</v>
      </c>
      <c r="N325" s="51">
        <f t="shared" si="48"/>
        <v>0</v>
      </c>
      <c r="P325" s="51">
        <f t="shared" si="49"/>
        <v>0</v>
      </c>
      <c r="Q325" s="63">
        <f>-PV(BondCalculator!$B$9/12,B325,0,1,0)</f>
        <v>0.20069110048201882</v>
      </c>
      <c r="S325" s="64">
        <f t="shared" si="50"/>
        <v>0</v>
      </c>
    </row>
    <row r="326" spans="1:19" ht="16.05" customHeight="1" x14ac:dyDescent="0.25">
      <c r="A326" s="61" t="s">
        <v>121</v>
      </c>
      <c r="B326" s="72">
        <v>323</v>
      </c>
      <c r="C326" s="12">
        <f t="shared" ref="C326:C363" si="53">G325</f>
        <v>0</v>
      </c>
      <c r="D326" s="12">
        <f>IF(G325=0,0,IF(G325&lt;BondCalculator!$B$12,G325+E326,BondCalculator!$B$12))</f>
        <v>0</v>
      </c>
      <c r="E326" s="12">
        <f>C326*BondCalculator!$B$5/12</f>
        <v>0</v>
      </c>
      <c r="F326" s="12">
        <f t="shared" si="45"/>
        <v>0</v>
      </c>
      <c r="G326" s="12">
        <f t="shared" si="51"/>
        <v>0</v>
      </c>
      <c r="H326" s="22">
        <f t="shared" si="52"/>
        <v>0</v>
      </c>
      <c r="J326" s="51">
        <f t="shared" si="46"/>
        <v>0</v>
      </c>
      <c r="K326" s="51">
        <f>IF(N325=0,0,IF(N325&lt;BondCalculator!$B$12+BondCalculator!$B$7,N325+L326,BondCalculator!$B$12+BondCalculator!$B$7))</f>
        <v>0</v>
      </c>
      <c r="L326" s="51">
        <f>J326*BondCalculator!$B$5/12</f>
        <v>0</v>
      </c>
      <c r="M326" s="51">
        <f t="shared" si="47"/>
        <v>0</v>
      </c>
      <c r="N326" s="51">
        <f t="shared" si="48"/>
        <v>0</v>
      </c>
      <c r="P326" s="51">
        <f t="shared" si="49"/>
        <v>0</v>
      </c>
      <c r="Q326" s="63">
        <f>-PV(BondCalculator!$B$9/12,B326,0,1,0)</f>
        <v>0.19969263729554115</v>
      </c>
      <c r="S326" s="64">
        <f t="shared" si="50"/>
        <v>0</v>
      </c>
    </row>
    <row r="327" spans="1:19" ht="16.05" customHeight="1" x14ac:dyDescent="0.25">
      <c r="A327" s="61" t="s">
        <v>121</v>
      </c>
      <c r="B327" s="72">
        <v>324</v>
      </c>
      <c r="C327" s="12">
        <f t="shared" si="53"/>
        <v>0</v>
      </c>
      <c r="D327" s="12">
        <f>IF(G326=0,0,IF(G326&lt;BondCalculator!$B$12,G326+E327,BondCalculator!$B$12))</f>
        <v>0</v>
      </c>
      <c r="E327" s="12">
        <f>C327*BondCalculator!$B$5/12</f>
        <v>0</v>
      </c>
      <c r="F327" s="12">
        <f t="shared" si="45"/>
        <v>0</v>
      </c>
      <c r="G327" s="12">
        <f t="shared" si="51"/>
        <v>0</v>
      </c>
      <c r="H327" s="22">
        <f t="shared" si="52"/>
        <v>0</v>
      </c>
      <c r="J327" s="51">
        <f t="shared" si="46"/>
        <v>0</v>
      </c>
      <c r="K327" s="51">
        <f>IF(N326=0,0,IF(N326&lt;BondCalculator!$B$12+BondCalculator!$B$7,N326+L327,BondCalculator!$B$12+BondCalculator!$B$7))</f>
        <v>0</v>
      </c>
      <c r="L327" s="51">
        <f>J327*BondCalculator!$B$5/12</f>
        <v>0</v>
      </c>
      <c r="M327" s="51">
        <f t="shared" si="47"/>
        <v>0</v>
      </c>
      <c r="N327" s="51">
        <f t="shared" si="48"/>
        <v>0</v>
      </c>
      <c r="P327" s="51">
        <f t="shared" si="49"/>
        <v>0</v>
      </c>
      <c r="Q327" s="63">
        <f>-PV(BondCalculator!$B$9/12,B327,0,1,0)</f>
        <v>0.19869914158760318</v>
      </c>
      <c r="S327" s="64">
        <f t="shared" si="50"/>
        <v>0</v>
      </c>
    </row>
    <row r="328" spans="1:19" ht="16.05" customHeight="1" x14ac:dyDescent="0.25">
      <c r="A328" s="61" t="s">
        <v>122</v>
      </c>
      <c r="B328" s="72">
        <v>325</v>
      </c>
      <c r="C328" s="12">
        <f t="shared" si="53"/>
        <v>0</v>
      </c>
      <c r="D328" s="12">
        <f>IF(G327=0,0,IF(G327&lt;BondCalculator!$B$12,G327+E328,BondCalculator!$B$12))</f>
        <v>0</v>
      </c>
      <c r="E328" s="12">
        <f>C328*BondCalculator!$B$5/12</f>
        <v>0</v>
      </c>
      <c r="F328" s="12">
        <f t="shared" si="45"/>
        <v>0</v>
      </c>
      <c r="G328" s="12">
        <f t="shared" si="51"/>
        <v>0</v>
      </c>
      <c r="H328" s="22">
        <f t="shared" si="52"/>
        <v>0</v>
      </c>
      <c r="J328" s="51">
        <f t="shared" si="46"/>
        <v>0</v>
      </c>
      <c r="K328" s="51">
        <f>IF(N327=0,0,IF(N327&lt;BondCalculator!$B$12+BondCalculator!$B$7,N327+L328,BondCalculator!$B$12+BondCalculator!$B$7))</f>
        <v>0</v>
      </c>
      <c r="L328" s="51">
        <f>J328*BondCalculator!$B$5/12</f>
        <v>0</v>
      </c>
      <c r="M328" s="51">
        <f t="shared" si="47"/>
        <v>0</v>
      </c>
      <c r="N328" s="51">
        <f t="shared" si="48"/>
        <v>0</v>
      </c>
      <c r="P328" s="51">
        <f t="shared" si="49"/>
        <v>0</v>
      </c>
      <c r="Q328" s="63">
        <f>-PV(BondCalculator!$B$9/12,B328,0,1,0)</f>
        <v>0.19771058864438132</v>
      </c>
      <c r="S328" s="64">
        <f t="shared" si="50"/>
        <v>0</v>
      </c>
    </row>
    <row r="329" spans="1:19" ht="16.05" customHeight="1" x14ac:dyDescent="0.25">
      <c r="A329" s="61" t="s">
        <v>122</v>
      </c>
      <c r="B329" s="72">
        <v>326</v>
      </c>
      <c r="C329" s="12">
        <f t="shared" si="53"/>
        <v>0</v>
      </c>
      <c r="D329" s="12">
        <f>IF(G328=0,0,IF(G328&lt;BondCalculator!$B$12,G328+E329,BondCalculator!$B$12))</f>
        <v>0</v>
      </c>
      <c r="E329" s="12">
        <f>C329*BondCalculator!$B$5/12</f>
        <v>0</v>
      </c>
      <c r="F329" s="12">
        <f t="shared" si="45"/>
        <v>0</v>
      </c>
      <c r="G329" s="12">
        <f t="shared" si="51"/>
        <v>0</v>
      </c>
      <c r="H329" s="22">
        <f t="shared" si="52"/>
        <v>0</v>
      </c>
      <c r="J329" s="51">
        <f t="shared" si="46"/>
        <v>0</v>
      </c>
      <c r="K329" s="51">
        <f>IF(N328=0,0,IF(N328&lt;BondCalculator!$B$12+BondCalculator!$B$7,N328+L329,BondCalculator!$B$12+BondCalculator!$B$7))</f>
        <v>0</v>
      </c>
      <c r="L329" s="51">
        <f>J329*BondCalculator!$B$5/12</f>
        <v>0</v>
      </c>
      <c r="M329" s="51">
        <f t="shared" si="47"/>
        <v>0</v>
      </c>
      <c r="N329" s="51">
        <f t="shared" si="48"/>
        <v>0</v>
      </c>
      <c r="P329" s="51">
        <f t="shared" si="49"/>
        <v>0</v>
      </c>
      <c r="Q329" s="63">
        <f>-PV(BondCalculator!$B$9/12,B329,0,1,0)</f>
        <v>0.19672695387500633</v>
      </c>
      <c r="S329" s="64">
        <f t="shared" si="50"/>
        <v>0</v>
      </c>
    </row>
    <row r="330" spans="1:19" ht="16.05" customHeight="1" x14ac:dyDescent="0.25">
      <c r="A330" s="61" t="s">
        <v>122</v>
      </c>
      <c r="B330" s="72">
        <v>327</v>
      </c>
      <c r="C330" s="12">
        <f t="shared" si="53"/>
        <v>0</v>
      </c>
      <c r="D330" s="12">
        <f>IF(G329=0,0,IF(G329&lt;BondCalculator!$B$12,G329+E330,BondCalculator!$B$12))</f>
        <v>0</v>
      </c>
      <c r="E330" s="12">
        <f>C330*BondCalculator!$B$5/12</f>
        <v>0</v>
      </c>
      <c r="F330" s="12">
        <f t="shared" si="45"/>
        <v>0</v>
      </c>
      <c r="G330" s="12">
        <f t="shared" si="51"/>
        <v>0</v>
      </c>
      <c r="H330" s="22">
        <f t="shared" si="52"/>
        <v>0</v>
      </c>
      <c r="J330" s="51">
        <f t="shared" si="46"/>
        <v>0</v>
      </c>
      <c r="K330" s="51">
        <f>IF(N329=0,0,IF(N329&lt;BondCalculator!$B$12+BondCalculator!$B$7,N329+L330,BondCalculator!$B$12+BondCalculator!$B$7))</f>
        <v>0</v>
      </c>
      <c r="L330" s="51">
        <f>J330*BondCalculator!$B$5/12</f>
        <v>0</v>
      </c>
      <c r="M330" s="51">
        <f t="shared" si="47"/>
        <v>0</v>
      </c>
      <c r="N330" s="51">
        <f t="shared" si="48"/>
        <v>0</v>
      </c>
      <c r="P330" s="51">
        <f t="shared" si="49"/>
        <v>0</v>
      </c>
      <c r="Q330" s="63">
        <f>-PV(BondCalculator!$B$9/12,B330,0,1,0)</f>
        <v>0.19574821281095159</v>
      </c>
      <c r="S330" s="64">
        <f t="shared" si="50"/>
        <v>0</v>
      </c>
    </row>
    <row r="331" spans="1:19" ht="16.05" customHeight="1" x14ac:dyDescent="0.25">
      <c r="A331" s="61" t="s">
        <v>122</v>
      </c>
      <c r="B331" s="72">
        <v>328</v>
      </c>
      <c r="C331" s="12">
        <f t="shared" si="53"/>
        <v>0</v>
      </c>
      <c r="D331" s="12">
        <f>IF(G330=0,0,IF(G330&lt;BondCalculator!$B$12,G330+E331,BondCalculator!$B$12))</f>
        <v>0</v>
      </c>
      <c r="E331" s="12">
        <f>C331*BondCalculator!$B$5/12</f>
        <v>0</v>
      </c>
      <c r="F331" s="12">
        <f t="shared" si="45"/>
        <v>0</v>
      </c>
      <c r="G331" s="12">
        <f t="shared" si="51"/>
        <v>0</v>
      </c>
      <c r="H331" s="22">
        <f t="shared" si="52"/>
        <v>0</v>
      </c>
      <c r="J331" s="51">
        <f t="shared" si="46"/>
        <v>0</v>
      </c>
      <c r="K331" s="51">
        <f>IF(N330=0,0,IF(N330&lt;BondCalculator!$B$12+BondCalculator!$B$7,N330+L331,BondCalculator!$B$12+BondCalculator!$B$7))</f>
        <v>0</v>
      </c>
      <c r="L331" s="51">
        <f>J331*BondCalculator!$B$5/12</f>
        <v>0</v>
      </c>
      <c r="M331" s="51">
        <f t="shared" si="47"/>
        <v>0</v>
      </c>
      <c r="N331" s="51">
        <f t="shared" si="48"/>
        <v>0</v>
      </c>
      <c r="P331" s="51">
        <f t="shared" si="49"/>
        <v>0</v>
      </c>
      <c r="Q331" s="63">
        <f>-PV(BondCalculator!$B$9/12,B331,0,1,0)</f>
        <v>0.19477434110542449</v>
      </c>
      <c r="S331" s="64">
        <f t="shared" si="50"/>
        <v>0</v>
      </c>
    </row>
    <row r="332" spans="1:19" ht="16.05" customHeight="1" x14ac:dyDescent="0.25">
      <c r="A332" s="61" t="s">
        <v>122</v>
      </c>
      <c r="B332" s="72">
        <v>329</v>
      </c>
      <c r="C332" s="12">
        <f t="shared" si="53"/>
        <v>0</v>
      </c>
      <c r="D332" s="12">
        <f>IF(G331=0,0,IF(G331&lt;BondCalculator!$B$12,G331+E332,BondCalculator!$B$12))</f>
        <v>0</v>
      </c>
      <c r="E332" s="12">
        <f>C332*BondCalculator!$B$5/12</f>
        <v>0</v>
      </c>
      <c r="F332" s="12">
        <f t="shared" si="45"/>
        <v>0</v>
      </c>
      <c r="G332" s="12">
        <f t="shared" si="51"/>
        <v>0</v>
      </c>
      <c r="H332" s="22">
        <f t="shared" si="52"/>
        <v>0</v>
      </c>
      <c r="J332" s="51">
        <f t="shared" si="46"/>
        <v>0</v>
      </c>
      <c r="K332" s="51">
        <f>IF(N331=0,0,IF(N331&lt;BondCalculator!$B$12+BondCalculator!$B$7,N331+L332,BondCalculator!$B$12+BondCalculator!$B$7))</f>
        <v>0</v>
      </c>
      <c r="L332" s="51">
        <f>J332*BondCalculator!$B$5/12</f>
        <v>0</v>
      </c>
      <c r="M332" s="51">
        <f t="shared" si="47"/>
        <v>0</v>
      </c>
      <c r="N332" s="51">
        <f t="shared" si="48"/>
        <v>0</v>
      </c>
      <c r="P332" s="51">
        <f t="shared" si="49"/>
        <v>0</v>
      </c>
      <c r="Q332" s="63">
        <f>-PV(BondCalculator!$B$9/12,B332,0,1,0)</f>
        <v>0.19380531453276068</v>
      </c>
      <c r="S332" s="64">
        <f t="shared" si="50"/>
        <v>0</v>
      </c>
    </row>
    <row r="333" spans="1:19" ht="16.05" customHeight="1" x14ac:dyDescent="0.25">
      <c r="A333" s="61" t="s">
        <v>122</v>
      </c>
      <c r="B333" s="72">
        <v>330</v>
      </c>
      <c r="C333" s="12">
        <f t="shared" si="53"/>
        <v>0</v>
      </c>
      <c r="D333" s="12">
        <f>IF(G332=0,0,IF(G332&lt;BondCalculator!$B$12,G332+E333,BondCalculator!$B$12))</f>
        <v>0</v>
      </c>
      <c r="E333" s="12">
        <f>C333*BondCalculator!$B$5/12</f>
        <v>0</v>
      </c>
      <c r="F333" s="12">
        <f t="shared" si="45"/>
        <v>0</v>
      </c>
      <c r="G333" s="12">
        <f t="shared" si="51"/>
        <v>0</v>
      </c>
      <c r="H333" s="22">
        <f t="shared" si="52"/>
        <v>0</v>
      </c>
      <c r="J333" s="51">
        <f t="shared" si="46"/>
        <v>0</v>
      </c>
      <c r="K333" s="51">
        <f>IF(N332=0,0,IF(N332&lt;BondCalculator!$B$12+BondCalculator!$B$7,N332+L333,BondCalculator!$B$12+BondCalculator!$B$7))</f>
        <v>0</v>
      </c>
      <c r="L333" s="51">
        <f>J333*BondCalculator!$B$5/12</f>
        <v>0</v>
      </c>
      <c r="M333" s="51">
        <f t="shared" si="47"/>
        <v>0</v>
      </c>
      <c r="N333" s="51">
        <f t="shared" si="48"/>
        <v>0</v>
      </c>
      <c r="P333" s="51">
        <f t="shared" si="49"/>
        <v>0</v>
      </c>
      <c r="Q333" s="63">
        <f>-PV(BondCalculator!$B$9/12,B333,0,1,0)</f>
        <v>0.19284110898782164</v>
      </c>
      <c r="S333" s="64">
        <f t="shared" si="50"/>
        <v>0</v>
      </c>
    </row>
    <row r="334" spans="1:19" ht="16.05" customHeight="1" x14ac:dyDescent="0.25">
      <c r="A334" s="61" t="s">
        <v>122</v>
      </c>
      <c r="B334" s="72">
        <v>331</v>
      </c>
      <c r="C334" s="12">
        <f t="shared" si="53"/>
        <v>0</v>
      </c>
      <c r="D334" s="12">
        <f>IF(G333=0,0,IF(G333&lt;BondCalculator!$B$12,G333+E334,BondCalculator!$B$12))</f>
        <v>0</v>
      </c>
      <c r="E334" s="12">
        <f>C334*BondCalculator!$B$5/12</f>
        <v>0</v>
      </c>
      <c r="F334" s="12">
        <f t="shared" si="45"/>
        <v>0</v>
      </c>
      <c r="G334" s="12">
        <f t="shared" si="51"/>
        <v>0</v>
      </c>
      <c r="H334" s="22">
        <f t="shared" si="52"/>
        <v>0</v>
      </c>
      <c r="J334" s="51">
        <f t="shared" si="46"/>
        <v>0</v>
      </c>
      <c r="K334" s="51">
        <f>IF(N333=0,0,IF(N333&lt;BondCalculator!$B$12+BondCalculator!$B$7,N333+L334,BondCalculator!$B$12+BondCalculator!$B$7))</f>
        <v>0</v>
      </c>
      <c r="L334" s="51">
        <f>J334*BondCalculator!$B$5/12</f>
        <v>0</v>
      </c>
      <c r="M334" s="51">
        <f t="shared" si="47"/>
        <v>0</v>
      </c>
      <c r="N334" s="51">
        <f t="shared" si="48"/>
        <v>0</v>
      </c>
      <c r="P334" s="51">
        <f t="shared" si="49"/>
        <v>0</v>
      </c>
      <c r="Q334" s="63">
        <f>-PV(BondCalculator!$B$9/12,B334,0,1,0)</f>
        <v>0.19188170048539469</v>
      </c>
      <c r="S334" s="64">
        <f t="shared" si="50"/>
        <v>0</v>
      </c>
    </row>
    <row r="335" spans="1:19" ht="16.05" customHeight="1" x14ac:dyDescent="0.25">
      <c r="A335" s="61" t="s">
        <v>122</v>
      </c>
      <c r="B335" s="72">
        <v>332</v>
      </c>
      <c r="C335" s="12">
        <f t="shared" si="53"/>
        <v>0</v>
      </c>
      <c r="D335" s="12">
        <f>IF(G334=0,0,IF(G334&lt;BondCalculator!$B$12,G334+E335,BondCalculator!$B$12))</f>
        <v>0</v>
      </c>
      <c r="E335" s="12">
        <f>C335*BondCalculator!$B$5/12</f>
        <v>0</v>
      </c>
      <c r="F335" s="12">
        <f t="shared" si="45"/>
        <v>0</v>
      </c>
      <c r="G335" s="12">
        <f t="shared" si="51"/>
        <v>0</v>
      </c>
      <c r="H335" s="22">
        <f t="shared" si="52"/>
        <v>0</v>
      </c>
      <c r="J335" s="51">
        <f t="shared" si="46"/>
        <v>0</v>
      </c>
      <c r="K335" s="51">
        <f>IF(N334=0,0,IF(N334&lt;BondCalculator!$B$12+BondCalculator!$B$7,N334+L335,BondCalculator!$B$12+BondCalculator!$B$7))</f>
        <v>0</v>
      </c>
      <c r="L335" s="51">
        <f>J335*BondCalculator!$B$5/12</f>
        <v>0</v>
      </c>
      <c r="M335" s="51">
        <f t="shared" si="47"/>
        <v>0</v>
      </c>
      <c r="N335" s="51">
        <f t="shared" si="48"/>
        <v>0</v>
      </c>
      <c r="P335" s="51">
        <f t="shared" si="49"/>
        <v>0</v>
      </c>
      <c r="Q335" s="63">
        <f>-PV(BondCalculator!$B$9/12,B335,0,1,0)</f>
        <v>0.19092706515959676</v>
      </c>
      <c r="S335" s="64">
        <f t="shared" si="50"/>
        <v>0</v>
      </c>
    </row>
    <row r="336" spans="1:19" ht="16.05" customHeight="1" x14ac:dyDescent="0.25">
      <c r="A336" s="61" t="s">
        <v>122</v>
      </c>
      <c r="B336" s="72">
        <v>333</v>
      </c>
      <c r="C336" s="12">
        <f t="shared" si="53"/>
        <v>0</v>
      </c>
      <c r="D336" s="12">
        <f>IF(G335=0,0,IF(G335&lt;BondCalculator!$B$12,G335+E336,BondCalculator!$B$12))</f>
        <v>0</v>
      </c>
      <c r="E336" s="12">
        <f>C336*BondCalculator!$B$5/12</f>
        <v>0</v>
      </c>
      <c r="F336" s="12">
        <f t="shared" si="45"/>
        <v>0</v>
      </c>
      <c r="G336" s="12">
        <f t="shared" si="51"/>
        <v>0</v>
      </c>
      <c r="H336" s="22">
        <f t="shared" si="52"/>
        <v>0</v>
      </c>
      <c r="J336" s="51">
        <f t="shared" si="46"/>
        <v>0</v>
      </c>
      <c r="K336" s="51">
        <f>IF(N335=0,0,IF(N335&lt;BondCalculator!$B$12+BondCalculator!$B$7,N335+L336,BondCalculator!$B$12+BondCalculator!$B$7))</f>
        <v>0</v>
      </c>
      <c r="L336" s="51">
        <f>J336*BondCalculator!$B$5/12</f>
        <v>0</v>
      </c>
      <c r="M336" s="51">
        <f t="shared" si="47"/>
        <v>0</v>
      </c>
      <c r="N336" s="51">
        <f t="shared" si="48"/>
        <v>0</v>
      </c>
      <c r="P336" s="51">
        <f t="shared" si="49"/>
        <v>0</v>
      </c>
      <c r="Q336" s="63">
        <f>-PV(BondCalculator!$B$9/12,B336,0,1,0)</f>
        <v>0.18997717926328037</v>
      </c>
      <c r="S336" s="64">
        <f t="shared" si="50"/>
        <v>0</v>
      </c>
    </row>
    <row r="337" spans="1:19" ht="16.05" customHeight="1" x14ac:dyDescent="0.25">
      <c r="A337" s="61" t="s">
        <v>122</v>
      </c>
      <c r="B337" s="72">
        <v>334</v>
      </c>
      <c r="C337" s="12">
        <f t="shared" si="53"/>
        <v>0</v>
      </c>
      <c r="D337" s="12">
        <f>IF(G336=0,0,IF(G336&lt;BondCalculator!$B$12,G336+E337,BondCalculator!$B$12))</f>
        <v>0</v>
      </c>
      <c r="E337" s="12">
        <f>C337*BondCalculator!$B$5/12</f>
        <v>0</v>
      </c>
      <c r="F337" s="12">
        <f t="shared" si="45"/>
        <v>0</v>
      </c>
      <c r="G337" s="12">
        <f t="shared" si="51"/>
        <v>0</v>
      </c>
      <c r="H337" s="22">
        <f t="shared" si="52"/>
        <v>0</v>
      </c>
      <c r="J337" s="51">
        <f t="shared" si="46"/>
        <v>0</v>
      </c>
      <c r="K337" s="51">
        <f>IF(N336=0,0,IF(N336&lt;BondCalculator!$B$12+BondCalculator!$B$7,N336+L337,BondCalculator!$B$12+BondCalculator!$B$7))</f>
        <v>0</v>
      </c>
      <c r="L337" s="51">
        <f>J337*BondCalculator!$B$5/12</f>
        <v>0</v>
      </c>
      <c r="M337" s="51">
        <f t="shared" si="47"/>
        <v>0</v>
      </c>
      <c r="N337" s="51">
        <f t="shared" si="48"/>
        <v>0</v>
      </c>
      <c r="P337" s="51">
        <f t="shared" si="49"/>
        <v>0</v>
      </c>
      <c r="Q337" s="63">
        <f>-PV(BondCalculator!$B$9/12,B337,0,1,0)</f>
        <v>0.18903201916744319</v>
      </c>
      <c r="S337" s="64">
        <f t="shared" si="50"/>
        <v>0</v>
      </c>
    </row>
    <row r="338" spans="1:19" ht="16.05" customHeight="1" x14ac:dyDescent="0.25">
      <c r="A338" s="61" t="s">
        <v>122</v>
      </c>
      <c r="B338" s="72">
        <v>335</v>
      </c>
      <c r="C338" s="12">
        <f t="shared" si="53"/>
        <v>0</v>
      </c>
      <c r="D338" s="12">
        <f>IF(G337=0,0,IF(G337&lt;BondCalculator!$B$12,G337+E338,BondCalculator!$B$12))</f>
        <v>0</v>
      </c>
      <c r="E338" s="12">
        <f>C338*BondCalculator!$B$5/12</f>
        <v>0</v>
      </c>
      <c r="F338" s="12">
        <f t="shared" si="45"/>
        <v>0</v>
      </c>
      <c r="G338" s="12">
        <f t="shared" si="51"/>
        <v>0</v>
      </c>
      <c r="H338" s="22">
        <f t="shared" si="52"/>
        <v>0</v>
      </c>
      <c r="J338" s="51">
        <f t="shared" si="46"/>
        <v>0</v>
      </c>
      <c r="K338" s="51">
        <f>IF(N337=0,0,IF(N337&lt;BondCalculator!$B$12+BondCalculator!$B$7,N337+L338,BondCalculator!$B$12+BondCalculator!$B$7))</f>
        <v>0</v>
      </c>
      <c r="L338" s="51">
        <f>J338*BondCalculator!$B$5/12</f>
        <v>0</v>
      </c>
      <c r="M338" s="51">
        <f t="shared" si="47"/>
        <v>0</v>
      </c>
      <c r="N338" s="51">
        <f t="shared" si="48"/>
        <v>0</v>
      </c>
      <c r="P338" s="51">
        <f t="shared" si="49"/>
        <v>0</v>
      </c>
      <c r="Q338" s="63">
        <f>-PV(BondCalculator!$B$9/12,B338,0,1,0)</f>
        <v>0.18809156136064004</v>
      </c>
      <c r="S338" s="64">
        <f t="shared" si="50"/>
        <v>0</v>
      </c>
    </row>
    <row r="339" spans="1:19" ht="16.05" customHeight="1" x14ac:dyDescent="0.25">
      <c r="A339" s="61" t="s">
        <v>122</v>
      </c>
      <c r="B339" s="72">
        <v>336</v>
      </c>
      <c r="C339" s="12">
        <f t="shared" si="53"/>
        <v>0</v>
      </c>
      <c r="D339" s="12">
        <f>IF(G338=0,0,IF(G338&lt;BondCalculator!$B$12,G338+E339,BondCalculator!$B$12))</f>
        <v>0</v>
      </c>
      <c r="E339" s="12">
        <f>C339*BondCalculator!$B$5/12</f>
        <v>0</v>
      </c>
      <c r="F339" s="12">
        <f t="shared" si="45"/>
        <v>0</v>
      </c>
      <c r="G339" s="12">
        <f t="shared" si="51"/>
        <v>0</v>
      </c>
      <c r="H339" s="22">
        <f t="shared" si="52"/>
        <v>0</v>
      </c>
      <c r="J339" s="51">
        <f t="shared" si="46"/>
        <v>0</v>
      </c>
      <c r="K339" s="51">
        <f>IF(N338=0,0,IF(N338&lt;BondCalculator!$B$12+BondCalculator!$B$7,N338+L339,BondCalculator!$B$12+BondCalculator!$B$7))</f>
        <v>0</v>
      </c>
      <c r="L339" s="51">
        <f>J339*BondCalculator!$B$5/12</f>
        <v>0</v>
      </c>
      <c r="M339" s="51">
        <f t="shared" si="47"/>
        <v>0</v>
      </c>
      <c r="N339" s="51">
        <f t="shared" si="48"/>
        <v>0</v>
      </c>
      <c r="P339" s="51">
        <f t="shared" si="49"/>
        <v>0</v>
      </c>
      <c r="Q339" s="63">
        <f>-PV(BondCalculator!$B$9/12,B339,0,1,0)</f>
        <v>0.18715578244839806</v>
      </c>
      <c r="S339" s="64">
        <f t="shared" si="50"/>
        <v>0</v>
      </c>
    </row>
    <row r="340" spans="1:19" ht="16.05" customHeight="1" x14ac:dyDescent="0.25">
      <c r="A340" s="61" t="s">
        <v>123</v>
      </c>
      <c r="B340" s="72">
        <v>337</v>
      </c>
      <c r="C340" s="12">
        <f t="shared" si="53"/>
        <v>0</v>
      </c>
      <c r="D340" s="12">
        <f>IF(G339=0,0,IF(G339&lt;BondCalculator!$B$12,G339+E340,BondCalculator!$B$12))</f>
        <v>0</v>
      </c>
      <c r="E340" s="12">
        <f>C340*BondCalculator!$B$5/12</f>
        <v>0</v>
      </c>
      <c r="F340" s="12">
        <f t="shared" si="45"/>
        <v>0</v>
      </c>
      <c r="G340" s="12">
        <f t="shared" si="51"/>
        <v>0</v>
      </c>
      <c r="H340" s="22">
        <f t="shared" si="52"/>
        <v>0</v>
      </c>
      <c r="J340" s="51">
        <f t="shared" si="46"/>
        <v>0</v>
      </c>
      <c r="K340" s="51">
        <f>IF(N339=0,0,IF(N339&lt;BondCalculator!$B$12+BondCalculator!$B$7,N339+L340,BondCalculator!$B$12+BondCalculator!$B$7))</f>
        <v>0</v>
      </c>
      <c r="L340" s="51">
        <f>J340*BondCalculator!$B$5/12</f>
        <v>0</v>
      </c>
      <c r="M340" s="51">
        <f t="shared" si="47"/>
        <v>0</v>
      </c>
      <c r="N340" s="51">
        <f t="shared" si="48"/>
        <v>0</v>
      </c>
      <c r="P340" s="51">
        <f t="shared" si="49"/>
        <v>0</v>
      </c>
      <c r="Q340" s="63">
        <f>-PV(BondCalculator!$B$9/12,B340,0,1,0)</f>
        <v>0.18622465915263489</v>
      </c>
      <c r="S340" s="64">
        <f t="shared" si="50"/>
        <v>0</v>
      </c>
    </row>
    <row r="341" spans="1:19" ht="16.05" customHeight="1" x14ac:dyDescent="0.25">
      <c r="A341" s="61" t="s">
        <v>123</v>
      </c>
      <c r="B341" s="72">
        <v>338</v>
      </c>
      <c r="C341" s="12">
        <f t="shared" si="53"/>
        <v>0</v>
      </c>
      <c r="D341" s="12">
        <f>IF(G340=0,0,IF(G340&lt;BondCalculator!$B$12,G340+E341,BondCalculator!$B$12))</f>
        <v>0</v>
      </c>
      <c r="E341" s="12">
        <f>C341*BondCalculator!$B$5/12</f>
        <v>0</v>
      </c>
      <c r="F341" s="12">
        <f t="shared" si="45"/>
        <v>0</v>
      </c>
      <c r="G341" s="12">
        <f t="shared" si="51"/>
        <v>0</v>
      </c>
      <c r="H341" s="22">
        <f t="shared" si="52"/>
        <v>0</v>
      </c>
      <c r="J341" s="51">
        <f t="shared" si="46"/>
        <v>0</v>
      </c>
      <c r="K341" s="51">
        <f>IF(N340=0,0,IF(N340&lt;BondCalculator!$B$12+BondCalculator!$B$7,N340+L341,BondCalculator!$B$12+BondCalculator!$B$7))</f>
        <v>0</v>
      </c>
      <c r="L341" s="51">
        <f>J341*BondCalculator!$B$5/12</f>
        <v>0</v>
      </c>
      <c r="M341" s="51">
        <f t="shared" si="47"/>
        <v>0</v>
      </c>
      <c r="N341" s="51">
        <f t="shared" si="48"/>
        <v>0</v>
      </c>
      <c r="P341" s="51">
        <f t="shared" si="49"/>
        <v>0</v>
      </c>
      <c r="Q341" s="63">
        <f>-PV(BondCalculator!$B$9/12,B341,0,1,0)</f>
        <v>0.18529816831107954</v>
      </c>
      <c r="S341" s="64">
        <f t="shared" si="50"/>
        <v>0</v>
      </c>
    </row>
    <row r="342" spans="1:19" ht="16.05" customHeight="1" x14ac:dyDescent="0.25">
      <c r="A342" s="61" t="s">
        <v>123</v>
      </c>
      <c r="B342" s="72">
        <v>339</v>
      </c>
      <c r="C342" s="12">
        <f t="shared" si="53"/>
        <v>0</v>
      </c>
      <c r="D342" s="12">
        <f>IF(G341=0,0,IF(G341&lt;BondCalculator!$B$12,G341+E342,BondCalculator!$B$12))</f>
        <v>0</v>
      </c>
      <c r="E342" s="12">
        <f>C342*BondCalculator!$B$5/12</f>
        <v>0</v>
      </c>
      <c r="F342" s="12">
        <f t="shared" si="45"/>
        <v>0</v>
      </c>
      <c r="G342" s="12">
        <f t="shared" si="51"/>
        <v>0</v>
      </c>
      <c r="H342" s="22">
        <f t="shared" si="52"/>
        <v>0</v>
      </c>
      <c r="J342" s="51">
        <f t="shared" si="46"/>
        <v>0</v>
      </c>
      <c r="K342" s="51">
        <f>IF(N341=0,0,IF(N341&lt;BondCalculator!$B$12+BondCalculator!$B$7,N341+L342,BondCalculator!$B$12+BondCalculator!$B$7))</f>
        <v>0</v>
      </c>
      <c r="L342" s="51">
        <f>J342*BondCalculator!$B$5/12</f>
        <v>0</v>
      </c>
      <c r="M342" s="51">
        <f t="shared" si="47"/>
        <v>0</v>
      </c>
      <c r="N342" s="51">
        <f t="shared" si="48"/>
        <v>0</v>
      </c>
      <c r="P342" s="51">
        <f t="shared" si="49"/>
        <v>0</v>
      </c>
      <c r="Q342" s="63">
        <f>-PV(BondCalculator!$B$9/12,B342,0,1,0)</f>
        <v>0.18437628687669608</v>
      </c>
      <c r="S342" s="64">
        <f t="shared" si="50"/>
        <v>0</v>
      </c>
    </row>
    <row r="343" spans="1:19" ht="16.05" customHeight="1" x14ac:dyDescent="0.25">
      <c r="A343" s="61" t="s">
        <v>123</v>
      </c>
      <c r="B343" s="72">
        <v>340</v>
      </c>
      <c r="C343" s="12">
        <f t="shared" si="53"/>
        <v>0</v>
      </c>
      <c r="D343" s="12">
        <f>IF(G342=0,0,IF(G342&lt;BondCalculator!$B$12,G342+E343,BondCalculator!$B$12))</f>
        <v>0</v>
      </c>
      <c r="E343" s="12">
        <f>C343*BondCalculator!$B$5/12</f>
        <v>0</v>
      </c>
      <c r="F343" s="12">
        <f t="shared" si="45"/>
        <v>0</v>
      </c>
      <c r="G343" s="12">
        <f t="shared" si="51"/>
        <v>0</v>
      </c>
      <c r="H343" s="22">
        <f t="shared" si="52"/>
        <v>0</v>
      </c>
      <c r="J343" s="51">
        <f t="shared" si="46"/>
        <v>0</v>
      </c>
      <c r="K343" s="51">
        <f>IF(N342=0,0,IF(N342&lt;BondCalculator!$B$12+BondCalculator!$B$7,N342+L343,BondCalculator!$B$12+BondCalculator!$B$7))</f>
        <v>0</v>
      </c>
      <c r="L343" s="51">
        <f>J343*BondCalculator!$B$5/12</f>
        <v>0</v>
      </c>
      <c r="M343" s="51">
        <f t="shared" si="47"/>
        <v>0</v>
      </c>
      <c r="N343" s="51">
        <f t="shared" si="48"/>
        <v>0</v>
      </c>
      <c r="P343" s="51">
        <f t="shared" si="49"/>
        <v>0</v>
      </c>
      <c r="Q343" s="63">
        <f>-PV(BondCalculator!$B$9/12,B343,0,1,0)</f>
        <v>0.18345899191711054</v>
      </c>
      <c r="S343" s="64">
        <f t="shared" si="50"/>
        <v>0</v>
      </c>
    </row>
    <row r="344" spans="1:19" ht="16.05" customHeight="1" x14ac:dyDescent="0.25">
      <c r="A344" s="61" t="s">
        <v>123</v>
      </c>
      <c r="B344" s="72">
        <v>341</v>
      </c>
      <c r="C344" s="12">
        <f t="shared" si="53"/>
        <v>0</v>
      </c>
      <c r="D344" s="12">
        <f>IF(G343=0,0,IF(G343&lt;BondCalculator!$B$12,G343+E344,BondCalculator!$B$12))</f>
        <v>0</v>
      </c>
      <c r="E344" s="12">
        <f>C344*BondCalculator!$B$5/12</f>
        <v>0</v>
      </c>
      <c r="F344" s="12">
        <f t="shared" si="45"/>
        <v>0</v>
      </c>
      <c r="G344" s="12">
        <f t="shared" si="51"/>
        <v>0</v>
      </c>
      <c r="H344" s="22">
        <f t="shared" si="52"/>
        <v>0</v>
      </c>
      <c r="J344" s="51">
        <f t="shared" si="46"/>
        <v>0</v>
      </c>
      <c r="K344" s="51">
        <f>IF(N343=0,0,IF(N343&lt;BondCalculator!$B$12+BondCalculator!$B$7,N343+L344,BondCalculator!$B$12+BondCalculator!$B$7))</f>
        <v>0</v>
      </c>
      <c r="L344" s="51">
        <f>J344*BondCalculator!$B$5/12</f>
        <v>0</v>
      </c>
      <c r="M344" s="51">
        <f t="shared" si="47"/>
        <v>0</v>
      </c>
      <c r="N344" s="51">
        <f t="shared" si="48"/>
        <v>0</v>
      </c>
      <c r="P344" s="51">
        <f t="shared" si="49"/>
        <v>0</v>
      </c>
      <c r="Q344" s="63">
        <f>-PV(BondCalculator!$B$9/12,B344,0,1,0)</f>
        <v>0.18254626061404039</v>
      </c>
      <c r="S344" s="64">
        <f t="shared" si="50"/>
        <v>0</v>
      </c>
    </row>
    <row r="345" spans="1:19" ht="16.05" customHeight="1" x14ac:dyDescent="0.25">
      <c r="A345" s="61" t="s">
        <v>123</v>
      </c>
      <c r="B345" s="72">
        <v>342</v>
      </c>
      <c r="C345" s="12">
        <f t="shared" si="53"/>
        <v>0</v>
      </c>
      <c r="D345" s="12">
        <f>IF(G344=0,0,IF(G344&lt;BondCalculator!$B$12,G344+E345,BondCalculator!$B$12))</f>
        <v>0</v>
      </c>
      <c r="E345" s="12">
        <f>C345*BondCalculator!$B$5/12</f>
        <v>0</v>
      </c>
      <c r="F345" s="12">
        <f t="shared" si="45"/>
        <v>0</v>
      </c>
      <c r="G345" s="12">
        <f t="shared" si="51"/>
        <v>0</v>
      </c>
      <c r="H345" s="22">
        <f t="shared" si="52"/>
        <v>0</v>
      </c>
      <c r="J345" s="51">
        <f t="shared" si="46"/>
        <v>0</v>
      </c>
      <c r="K345" s="51">
        <f>IF(N344=0,0,IF(N344&lt;BondCalculator!$B$12+BondCalculator!$B$7,N344+L345,BondCalculator!$B$12+BondCalculator!$B$7))</f>
        <v>0</v>
      </c>
      <c r="L345" s="51">
        <f>J345*BondCalculator!$B$5/12</f>
        <v>0</v>
      </c>
      <c r="M345" s="51">
        <f t="shared" si="47"/>
        <v>0</v>
      </c>
      <c r="N345" s="51">
        <f t="shared" si="48"/>
        <v>0</v>
      </c>
      <c r="P345" s="51">
        <f t="shared" si="49"/>
        <v>0</v>
      </c>
      <c r="Q345" s="63">
        <f>-PV(BondCalculator!$B$9/12,B345,0,1,0)</f>
        <v>0.1816380702627268</v>
      </c>
      <c r="S345" s="64">
        <f t="shared" si="50"/>
        <v>0</v>
      </c>
    </row>
    <row r="346" spans="1:19" ht="16.05" customHeight="1" x14ac:dyDescent="0.25">
      <c r="A346" s="61" t="s">
        <v>123</v>
      </c>
      <c r="B346" s="72">
        <v>343</v>
      </c>
      <c r="C346" s="12">
        <f t="shared" si="53"/>
        <v>0</v>
      </c>
      <c r="D346" s="12">
        <f>IF(G345=0,0,IF(G345&lt;BondCalculator!$B$12,G345+E346,BondCalculator!$B$12))</f>
        <v>0</v>
      </c>
      <c r="E346" s="12">
        <f>C346*BondCalculator!$B$5/12</f>
        <v>0</v>
      </c>
      <c r="F346" s="12">
        <f t="shared" si="45"/>
        <v>0</v>
      </c>
      <c r="G346" s="12">
        <f t="shared" si="51"/>
        <v>0</v>
      </c>
      <c r="H346" s="22">
        <f t="shared" si="52"/>
        <v>0</v>
      </c>
      <c r="J346" s="51">
        <f t="shared" si="46"/>
        <v>0</v>
      </c>
      <c r="K346" s="51">
        <f>IF(N345=0,0,IF(N345&lt;BondCalculator!$B$12+BondCalculator!$B$7,N345+L346,BondCalculator!$B$12+BondCalculator!$B$7))</f>
        <v>0</v>
      </c>
      <c r="L346" s="51">
        <f>J346*BondCalculator!$B$5/12</f>
        <v>0</v>
      </c>
      <c r="M346" s="51">
        <f t="shared" si="47"/>
        <v>0</v>
      </c>
      <c r="N346" s="51">
        <f t="shared" si="48"/>
        <v>0</v>
      </c>
      <c r="P346" s="51">
        <f t="shared" si="49"/>
        <v>0</v>
      </c>
      <c r="Q346" s="63">
        <f>-PV(BondCalculator!$B$9/12,B346,0,1,0)</f>
        <v>0.18073439827136997</v>
      </c>
      <c r="S346" s="64">
        <f t="shared" si="50"/>
        <v>0</v>
      </c>
    </row>
    <row r="347" spans="1:19" ht="16.05" customHeight="1" x14ac:dyDescent="0.25">
      <c r="A347" s="61" t="s">
        <v>123</v>
      </c>
      <c r="B347" s="72">
        <v>344</v>
      </c>
      <c r="C347" s="12">
        <f t="shared" si="53"/>
        <v>0</v>
      </c>
      <c r="D347" s="12">
        <f>IF(G346=0,0,IF(G346&lt;BondCalculator!$B$12,G346+E347,BondCalculator!$B$12))</f>
        <v>0</v>
      </c>
      <c r="E347" s="12">
        <f>C347*BondCalculator!$B$5/12</f>
        <v>0</v>
      </c>
      <c r="F347" s="12">
        <f t="shared" si="45"/>
        <v>0</v>
      </c>
      <c r="G347" s="12">
        <f t="shared" si="51"/>
        <v>0</v>
      </c>
      <c r="H347" s="22">
        <f t="shared" si="52"/>
        <v>0</v>
      </c>
      <c r="J347" s="51">
        <f t="shared" si="46"/>
        <v>0</v>
      </c>
      <c r="K347" s="51">
        <f>IF(N346=0,0,IF(N346&lt;BondCalculator!$B$12+BondCalculator!$B$7,N346+L347,BondCalculator!$B$12+BondCalculator!$B$7))</f>
        <v>0</v>
      </c>
      <c r="L347" s="51">
        <f>J347*BondCalculator!$B$5/12</f>
        <v>0</v>
      </c>
      <c r="M347" s="51">
        <f t="shared" si="47"/>
        <v>0</v>
      </c>
      <c r="N347" s="51">
        <f t="shared" si="48"/>
        <v>0</v>
      </c>
      <c r="P347" s="51">
        <f t="shared" si="49"/>
        <v>0</v>
      </c>
      <c r="Q347" s="63">
        <f>-PV(BondCalculator!$B$9/12,B347,0,1,0)</f>
        <v>0.17983522216056713</v>
      </c>
      <c r="S347" s="64">
        <f t="shared" si="50"/>
        <v>0</v>
      </c>
    </row>
    <row r="348" spans="1:19" ht="16.05" customHeight="1" x14ac:dyDescent="0.25">
      <c r="A348" s="61" t="s">
        <v>123</v>
      </c>
      <c r="B348" s="72">
        <v>345</v>
      </c>
      <c r="C348" s="12">
        <f t="shared" si="53"/>
        <v>0</v>
      </c>
      <c r="D348" s="12">
        <f>IF(G347=0,0,IF(G347&lt;BondCalculator!$B$12,G347+E348,BondCalculator!$B$12))</f>
        <v>0</v>
      </c>
      <c r="E348" s="12">
        <f>C348*BondCalculator!$B$5/12</f>
        <v>0</v>
      </c>
      <c r="F348" s="12">
        <f t="shared" si="45"/>
        <v>0</v>
      </c>
      <c r="G348" s="12">
        <f t="shared" si="51"/>
        <v>0</v>
      </c>
      <c r="H348" s="22">
        <f t="shared" si="52"/>
        <v>0</v>
      </c>
      <c r="J348" s="51">
        <f t="shared" si="46"/>
        <v>0</v>
      </c>
      <c r="K348" s="51">
        <f>IF(N347=0,0,IF(N347&lt;BondCalculator!$B$12+BondCalculator!$B$7,N347+L348,BondCalculator!$B$12+BondCalculator!$B$7))</f>
        <v>0</v>
      </c>
      <c r="L348" s="51">
        <f>J348*BondCalculator!$B$5/12</f>
        <v>0</v>
      </c>
      <c r="M348" s="51">
        <f t="shared" si="47"/>
        <v>0</v>
      </c>
      <c r="N348" s="51">
        <f t="shared" si="48"/>
        <v>0</v>
      </c>
      <c r="P348" s="51">
        <f t="shared" si="49"/>
        <v>0</v>
      </c>
      <c r="Q348" s="63">
        <f>-PV(BondCalculator!$B$9/12,B348,0,1,0)</f>
        <v>0.17894051956275339</v>
      </c>
      <c r="S348" s="64">
        <f t="shared" si="50"/>
        <v>0</v>
      </c>
    </row>
    <row r="349" spans="1:19" ht="16.05" customHeight="1" x14ac:dyDescent="0.25">
      <c r="A349" s="61" t="s">
        <v>123</v>
      </c>
      <c r="B349" s="72">
        <v>346</v>
      </c>
      <c r="C349" s="12">
        <f t="shared" si="53"/>
        <v>0</v>
      </c>
      <c r="D349" s="12">
        <f>IF(G348=0,0,IF(G348&lt;BondCalculator!$B$12,G348+E349,BondCalculator!$B$12))</f>
        <v>0</v>
      </c>
      <c r="E349" s="12">
        <f>C349*BondCalculator!$B$5/12</f>
        <v>0</v>
      </c>
      <c r="F349" s="12">
        <f t="shared" si="45"/>
        <v>0</v>
      </c>
      <c r="G349" s="12">
        <f t="shared" si="51"/>
        <v>0</v>
      </c>
      <c r="H349" s="22">
        <f t="shared" si="52"/>
        <v>0</v>
      </c>
      <c r="J349" s="51">
        <f t="shared" si="46"/>
        <v>0</v>
      </c>
      <c r="K349" s="51">
        <f>IF(N348=0,0,IF(N348&lt;BondCalculator!$B$12+BondCalculator!$B$7,N348+L349,BondCalculator!$B$12+BondCalculator!$B$7))</f>
        <v>0</v>
      </c>
      <c r="L349" s="51">
        <f>J349*BondCalculator!$B$5/12</f>
        <v>0</v>
      </c>
      <c r="M349" s="51">
        <f t="shared" si="47"/>
        <v>0</v>
      </c>
      <c r="N349" s="51">
        <f t="shared" si="48"/>
        <v>0</v>
      </c>
      <c r="P349" s="51">
        <f t="shared" si="49"/>
        <v>0</v>
      </c>
      <c r="Q349" s="63">
        <f>-PV(BondCalculator!$B$9/12,B349,0,1,0)</f>
        <v>0.17805026822164519</v>
      </c>
      <c r="S349" s="64">
        <f t="shared" si="50"/>
        <v>0</v>
      </c>
    </row>
    <row r="350" spans="1:19" ht="16.05" customHeight="1" x14ac:dyDescent="0.25">
      <c r="A350" s="61" t="s">
        <v>123</v>
      </c>
      <c r="B350" s="72">
        <v>347</v>
      </c>
      <c r="C350" s="12">
        <f t="shared" si="53"/>
        <v>0</v>
      </c>
      <c r="D350" s="12">
        <f>IF(G349=0,0,IF(G349&lt;BondCalculator!$B$12,G349+E350,BondCalculator!$B$12))</f>
        <v>0</v>
      </c>
      <c r="E350" s="12">
        <f>C350*BondCalculator!$B$5/12</f>
        <v>0</v>
      </c>
      <c r="F350" s="12">
        <f t="shared" si="45"/>
        <v>0</v>
      </c>
      <c r="G350" s="12">
        <f t="shared" si="51"/>
        <v>0</v>
      </c>
      <c r="H350" s="22">
        <f t="shared" si="52"/>
        <v>0</v>
      </c>
      <c r="J350" s="51">
        <f t="shared" si="46"/>
        <v>0</v>
      </c>
      <c r="K350" s="51">
        <f>IF(N349=0,0,IF(N349&lt;BondCalculator!$B$12+BondCalculator!$B$7,N349+L350,BondCalculator!$B$12+BondCalculator!$B$7))</f>
        <v>0</v>
      </c>
      <c r="L350" s="51">
        <f>J350*BondCalculator!$B$5/12</f>
        <v>0</v>
      </c>
      <c r="M350" s="51">
        <f t="shared" si="47"/>
        <v>0</v>
      </c>
      <c r="N350" s="51">
        <f t="shared" si="48"/>
        <v>0</v>
      </c>
      <c r="P350" s="51">
        <f t="shared" si="49"/>
        <v>0</v>
      </c>
      <c r="Q350" s="63">
        <f>-PV(BondCalculator!$B$9/12,B350,0,1,0)</f>
        <v>0.17716444599168679</v>
      </c>
      <c r="S350" s="64">
        <f t="shared" si="50"/>
        <v>0</v>
      </c>
    </row>
    <row r="351" spans="1:19" ht="16.05" customHeight="1" x14ac:dyDescent="0.25">
      <c r="A351" s="61" t="s">
        <v>123</v>
      </c>
      <c r="B351" s="72">
        <v>348</v>
      </c>
      <c r="C351" s="12">
        <f t="shared" si="53"/>
        <v>0</v>
      </c>
      <c r="D351" s="12">
        <f>IF(G350=0,0,IF(G350&lt;BondCalculator!$B$12,G350+E351,BondCalculator!$B$12))</f>
        <v>0</v>
      </c>
      <c r="E351" s="12">
        <f>C351*BondCalculator!$B$5/12</f>
        <v>0</v>
      </c>
      <c r="F351" s="12">
        <f t="shared" si="45"/>
        <v>0</v>
      </c>
      <c r="G351" s="12">
        <f t="shared" si="51"/>
        <v>0</v>
      </c>
      <c r="H351" s="22">
        <f t="shared" si="52"/>
        <v>0</v>
      </c>
      <c r="J351" s="51">
        <f t="shared" si="46"/>
        <v>0</v>
      </c>
      <c r="K351" s="51">
        <f>IF(N350=0,0,IF(N350&lt;BondCalculator!$B$12+BondCalculator!$B$7,N350+L351,BondCalculator!$B$12+BondCalculator!$B$7))</f>
        <v>0</v>
      </c>
      <c r="L351" s="51">
        <f>J351*BondCalculator!$B$5/12</f>
        <v>0</v>
      </c>
      <c r="M351" s="51">
        <f t="shared" si="47"/>
        <v>0</v>
      </c>
      <c r="N351" s="51">
        <f t="shared" si="48"/>
        <v>0</v>
      </c>
      <c r="P351" s="51">
        <f t="shared" si="49"/>
        <v>0</v>
      </c>
      <c r="Q351" s="63">
        <f>-PV(BondCalculator!$B$9/12,B351,0,1,0)</f>
        <v>0.17628303083749933</v>
      </c>
      <c r="S351" s="64">
        <f t="shared" si="50"/>
        <v>0</v>
      </c>
    </row>
    <row r="352" spans="1:19" ht="16.05" customHeight="1" x14ac:dyDescent="0.25">
      <c r="A352" s="61" t="s">
        <v>124</v>
      </c>
      <c r="B352" s="72">
        <v>349</v>
      </c>
      <c r="C352" s="12">
        <f t="shared" si="53"/>
        <v>0</v>
      </c>
      <c r="D352" s="12">
        <f>IF(G351=0,0,IF(G351&lt;BondCalculator!$B$12,G351+E352,BondCalculator!$B$12))</f>
        <v>0</v>
      </c>
      <c r="E352" s="12">
        <f>C352*BondCalculator!$B$5/12</f>
        <v>0</v>
      </c>
      <c r="F352" s="12">
        <f t="shared" si="45"/>
        <v>0</v>
      </c>
      <c r="G352" s="12">
        <f t="shared" si="51"/>
        <v>0</v>
      </c>
      <c r="H352" s="22">
        <f t="shared" si="52"/>
        <v>0</v>
      </c>
      <c r="J352" s="51">
        <f t="shared" si="46"/>
        <v>0</v>
      </c>
      <c r="K352" s="51">
        <f>IF(N351=0,0,IF(N351&lt;BondCalculator!$B$12+BondCalculator!$B$7,N351+L352,BondCalculator!$B$12+BondCalculator!$B$7))</f>
        <v>0</v>
      </c>
      <c r="L352" s="51">
        <f>J352*BondCalculator!$B$5/12</f>
        <v>0</v>
      </c>
      <c r="M352" s="51">
        <f t="shared" si="47"/>
        <v>0</v>
      </c>
      <c r="N352" s="51">
        <f t="shared" si="48"/>
        <v>0</v>
      </c>
      <c r="P352" s="51">
        <f t="shared" si="49"/>
        <v>0</v>
      </c>
      <c r="Q352" s="63">
        <f>-PV(BondCalculator!$B$9/12,B352,0,1,0)</f>
        <v>0.17540600083333269</v>
      </c>
      <c r="S352" s="64">
        <f t="shared" si="50"/>
        <v>0</v>
      </c>
    </row>
    <row r="353" spans="1:19" ht="16.05" customHeight="1" x14ac:dyDescent="0.25">
      <c r="A353" s="61" t="s">
        <v>124</v>
      </c>
      <c r="B353" s="72">
        <v>350</v>
      </c>
      <c r="C353" s="12">
        <f t="shared" si="53"/>
        <v>0</v>
      </c>
      <c r="D353" s="12">
        <f>IF(G352=0,0,IF(G352&lt;BondCalculator!$B$12,G352+E353,BondCalculator!$B$12))</f>
        <v>0</v>
      </c>
      <c r="E353" s="12">
        <f>C353*BondCalculator!$B$5/12</f>
        <v>0</v>
      </c>
      <c r="F353" s="12">
        <f t="shared" si="45"/>
        <v>0</v>
      </c>
      <c r="G353" s="12">
        <f t="shared" si="51"/>
        <v>0</v>
      </c>
      <c r="H353" s="22">
        <f t="shared" si="52"/>
        <v>0</v>
      </c>
      <c r="J353" s="51">
        <f t="shared" si="46"/>
        <v>0</v>
      </c>
      <c r="K353" s="51">
        <f>IF(N352=0,0,IF(N352&lt;BondCalculator!$B$12+BondCalculator!$B$7,N352+L353,BondCalculator!$B$12+BondCalculator!$B$7))</f>
        <v>0</v>
      </c>
      <c r="L353" s="51">
        <f>J353*BondCalculator!$B$5/12</f>
        <v>0</v>
      </c>
      <c r="M353" s="51">
        <f t="shared" si="47"/>
        <v>0</v>
      </c>
      <c r="N353" s="51">
        <f t="shared" si="48"/>
        <v>0</v>
      </c>
      <c r="P353" s="51">
        <f t="shared" si="49"/>
        <v>0</v>
      </c>
      <c r="Q353" s="63">
        <f>-PV(BondCalculator!$B$9/12,B353,0,1,0)</f>
        <v>0.17453333416252012</v>
      </c>
      <c r="S353" s="64">
        <f t="shared" si="50"/>
        <v>0</v>
      </c>
    </row>
    <row r="354" spans="1:19" ht="16.05" customHeight="1" x14ac:dyDescent="0.25">
      <c r="A354" s="61" t="s">
        <v>124</v>
      </c>
      <c r="B354" s="72">
        <v>351</v>
      </c>
      <c r="C354" s="12">
        <f t="shared" si="53"/>
        <v>0</v>
      </c>
      <c r="D354" s="12">
        <f>IF(G353=0,0,IF(G353&lt;BondCalculator!$B$12,G353+E354,BondCalculator!$B$12))</f>
        <v>0</v>
      </c>
      <c r="E354" s="12">
        <f>C354*BondCalculator!$B$5/12</f>
        <v>0</v>
      </c>
      <c r="F354" s="12">
        <f t="shared" si="45"/>
        <v>0</v>
      </c>
      <c r="G354" s="12">
        <f t="shared" si="51"/>
        <v>0</v>
      </c>
      <c r="H354" s="22">
        <f t="shared" si="52"/>
        <v>0</v>
      </c>
      <c r="J354" s="51">
        <f t="shared" si="46"/>
        <v>0</v>
      </c>
      <c r="K354" s="51">
        <f>IF(N353=0,0,IF(N353&lt;BondCalculator!$B$12+BondCalculator!$B$7,N353+L354,BondCalculator!$B$12+BondCalculator!$B$7))</f>
        <v>0</v>
      </c>
      <c r="L354" s="51">
        <f>J354*BondCalculator!$B$5/12</f>
        <v>0</v>
      </c>
      <c r="M354" s="51">
        <f t="shared" si="47"/>
        <v>0</v>
      </c>
      <c r="N354" s="51">
        <f t="shared" si="48"/>
        <v>0</v>
      </c>
      <c r="P354" s="51">
        <f t="shared" si="49"/>
        <v>0</v>
      </c>
      <c r="Q354" s="63">
        <f>-PV(BondCalculator!$B$9/12,B354,0,1,0)</f>
        <v>0.1736650091169355</v>
      </c>
      <c r="S354" s="64">
        <f t="shared" si="50"/>
        <v>0</v>
      </c>
    </row>
    <row r="355" spans="1:19" ht="16.05" customHeight="1" x14ac:dyDescent="0.25">
      <c r="A355" s="61" t="s">
        <v>124</v>
      </c>
      <c r="B355" s="72">
        <v>352</v>
      </c>
      <c r="C355" s="12">
        <f t="shared" si="53"/>
        <v>0</v>
      </c>
      <c r="D355" s="12">
        <f>IF(G354=0,0,IF(G354&lt;BondCalculator!$B$12,G354+E355,BondCalculator!$B$12))</f>
        <v>0</v>
      </c>
      <c r="E355" s="12">
        <f>C355*BondCalculator!$B$5/12</f>
        <v>0</v>
      </c>
      <c r="F355" s="12">
        <f t="shared" si="45"/>
        <v>0</v>
      </c>
      <c r="G355" s="12">
        <f t="shared" si="51"/>
        <v>0</v>
      </c>
      <c r="H355" s="22">
        <f t="shared" si="52"/>
        <v>0</v>
      </c>
      <c r="J355" s="51">
        <f t="shared" si="46"/>
        <v>0</v>
      </c>
      <c r="K355" s="51">
        <f>IF(N354=0,0,IF(N354&lt;BondCalculator!$B$12+BondCalculator!$B$7,N354+L355,BondCalculator!$B$12+BondCalculator!$B$7))</f>
        <v>0</v>
      </c>
      <c r="L355" s="51">
        <f>J355*BondCalculator!$B$5/12</f>
        <v>0</v>
      </c>
      <c r="M355" s="51">
        <f t="shared" si="47"/>
        <v>0</v>
      </c>
      <c r="N355" s="51">
        <f t="shared" si="48"/>
        <v>0</v>
      </c>
      <c r="P355" s="51">
        <f t="shared" si="49"/>
        <v>0</v>
      </c>
      <c r="Q355" s="63">
        <f>-PV(BondCalculator!$B$9/12,B355,0,1,0)</f>
        <v>0.17280100409645324</v>
      </c>
      <c r="S355" s="64">
        <f t="shared" si="50"/>
        <v>0</v>
      </c>
    </row>
    <row r="356" spans="1:19" ht="16.05" customHeight="1" x14ac:dyDescent="0.25">
      <c r="A356" s="61" t="s">
        <v>124</v>
      </c>
      <c r="B356" s="72">
        <v>353</v>
      </c>
      <c r="C356" s="12">
        <f t="shared" si="53"/>
        <v>0</v>
      </c>
      <c r="D356" s="12">
        <f>IF(G355=0,0,IF(G355&lt;BondCalculator!$B$12,G355+E356,BondCalculator!$B$12))</f>
        <v>0</v>
      </c>
      <c r="E356" s="12">
        <f>C356*BondCalculator!$B$5/12</f>
        <v>0</v>
      </c>
      <c r="F356" s="12">
        <f t="shared" si="45"/>
        <v>0</v>
      </c>
      <c r="G356" s="12">
        <f t="shared" si="51"/>
        <v>0</v>
      </c>
      <c r="H356" s="22">
        <f t="shared" si="52"/>
        <v>0</v>
      </c>
      <c r="J356" s="51">
        <f t="shared" si="46"/>
        <v>0</v>
      </c>
      <c r="K356" s="51">
        <f>IF(N355=0,0,IF(N355&lt;BondCalculator!$B$12+BondCalculator!$B$7,N355+L356,BondCalculator!$B$12+BondCalculator!$B$7))</f>
        <v>0</v>
      </c>
      <c r="L356" s="51">
        <f>J356*BondCalculator!$B$5/12</f>
        <v>0</v>
      </c>
      <c r="M356" s="51">
        <f t="shared" si="47"/>
        <v>0</v>
      </c>
      <c r="N356" s="51">
        <f t="shared" si="48"/>
        <v>0</v>
      </c>
      <c r="P356" s="51">
        <f t="shared" si="49"/>
        <v>0</v>
      </c>
      <c r="Q356" s="63">
        <f>-PV(BondCalculator!$B$9/12,B356,0,1,0)</f>
        <v>0.1719412976084112</v>
      </c>
      <c r="S356" s="64">
        <f t="shared" si="50"/>
        <v>0</v>
      </c>
    </row>
    <row r="357" spans="1:19" ht="16.05" customHeight="1" x14ac:dyDescent="0.25">
      <c r="A357" s="61" t="s">
        <v>124</v>
      </c>
      <c r="B357" s="72">
        <v>354</v>
      </c>
      <c r="C357" s="12">
        <f t="shared" si="53"/>
        <v>0</v>
      </c>
      <c r="D357" s="12">
        <f>IF(G356=0,0,IF(G356&lt;BondCalculator!$B$12,G356+E357,BondCalculator!$B$12))</f>
        <v>0</v>
      </c>
      <c r="E357" s="12">
        <f>C357*BondCalculator!$B$5/12</f>
        <v>0</v>
      </c>
      <c r="F357" s="12">
        <f t="shared" si="45"/>
        <v>0</v>
      </c>
      <c r="G357" s="12">
        <f t="shared" si="51"/>
        <v>0</v>
      </c>
      <c r="H357" s="22">
        <f t="shared" si="52"/>
        <v>0</v>
      </c>
      <c r="J357" s="51">
        <f t="shared" si="46"/>
        <v>0</v>
      </c>
      <c r="K357" s="51">
        <f>IF(N356=0,0,IF(N356&lt;BondCalculator!$B$12+BondCalculator!$B$7,N356+L357,BondCalculator!$B$12+BondCalculator!$B$7))</f>
        <v>0</v>
      </c>
      <c r="L357" s="51">
        <f>J357*BondCalculator!$B$5/12</f>
        <v>0</v>
      </c>
      <c r="M357" s="51">
        <f t="shared" si="47"/>
        <v>0</v>
      </c>
      <c r="N357" s="51">
        <f t="shared" si="48"/>
        <v>0</v>
      </c>
      <c r="P357" s="51">
        <f t="shared" si="49"/>
        <v>0</v>
      </c>
      <c r="Q357" s="63">
        <f>-PV(BondCalculator!$B$9/12,B357,0,1,0)</f>
        <v>0.17108586826707584</v>
      </c>
      <c r="S357" s="64">
        <f t="shared" si="50"/>
        <v>0</v>
      </c>
    </row>
    <row r="358" spans="1:19" ht="16.05" customHeight="1" x14ac:dyDescent="0.25">
      <c r="A358" s="61" t="s">
        <v>124</v>
      </c>
      <c r="B358" s="72">
        <v>355</v>
      </c>
      <c r="C358" s="12">
        <f t="shared" si="53"/>
        <v>0</v>
      </c>
      <c r="D358" s="12">
        <f>IF(G357=0,0,IF(G357&lt;BondCalculator!$B$12,G357+E358,BondCalculator!$B$12))</f>
        <v>0</v>
      </c>
      <c r="E358" s="12">
        <f>C358*BondCalculator!$B$5/12</f>
        <v>0</v>
      </c>
      <c r="F358" s="12">
        <f t="shared" si="45"/>
        <v>0</v>
      </c>
      <c r="G358" s="12">
        <f t="shared" si="51"/>
        <v>0</v>
      </c>
      <c r="H358" s="22">
        <f t="shared" si="52"/>
        <v>0</v>
      </c>
      <c r="J358" s="51">
        <f t="shared" si="46"/>
        <v>0</v>
      </c>
      <c r="K358" s="51">
        <f>IF(N357=0,0,IF(N357&lt;BondCalculator!$B$12+BondCalculator!$B$7,N357+L358,BondCalculator!$B$12+BondCalculator!$B$7))</f>
        <v>0</v>
      </c>
      <c r="L358" s="51">
        <f>J358*BondCalculator!$B$5/12</f>
        <v>0</v>
      </c>
      <c r="M358" s="51">
        <f t="shared" si="47"/>
        <v>0</v>
      </c>
      <c r="N358" s="51">
        <f t="shared" si="48"/>
        <v>0</v>
      </c>
      <c r="P358" s="51">
        <f t="shared" si="49"/>
        <v>0</v>
      </c>
      <c r="Q358" s="63">
        <f>-PV(BondCalculator!$B$9/12,B358,0,1,0)</f>
        <v>0.17023469479311029</v>
      </c>
      <c r="S358" s="64">
        <f t="shared" si="50"/>
        <v>0</v>
      </c>
    </row>
    <row r="359" spans="1:19" ht="16.05" customHeight="1" x14ac:dyDescent="0.25">
      <c r="A359" s="61" t="s">
        <v>124</v>
      </c>
      <c r="B359" s="72">
        <v>356</v>
      </c>
      <c r="C359" s="12">
        <f t="shared" si="53"/>
        <v>0</v>
      </c>
      <c r="D359" s="12">
        <f>IF(G358=0,0,IF(G358&lt;BondCalculator!$B$12,G358+E359,BondCalculator!$B$12))</f>
        <v>0</v>
      </c>
      <c r="E359" s="12">
        <f>C359*BondCalculator!$B$5/12</f>
        <v>0</v>
      </c>
      <c r="F359" s="12">
        <f t="shared" si="45"/>
        <v>0</v>
      </c>
      <c r="G359" s="12">
        <f t="shared" si="51"/>
        <v>0</v>
      </c>
      <c r="H359" s="22">
        <f t="shared" si="52"/>
        <v>0</v>
      </c>
      <c r="J359" s="51">
        <f t="shared" si="46"/>
        <v>0</v>
      </c>
      <c r="K359" s="51">
        <f>IF(N358=0,0,IF(N358&lt;BondCalculator!$B$12+BondCalculator!$B$7,N358+L359,BondCalculator!$B$12+BondCalculator!$B$7))</f>
        <v>0</v>
      </c>
      <c r="L359" s="51">
        <f>J359*BondCalculator!$B$5/12</f>
        <v>0</v>
      </c>
      <c r="M359" s="51">
        <f t="shared" si="47"/>
        <v>0</v>
      </c>
      <c r="N359" s="51">
        <f t="shared" si="48"/>
        <v>0</v>
      </c>
      <c r="P359" s="51">
        <f t="shared" si="49"/>
        <v>0</v>
      </c>
      <c r="Q359" s="63">
        <f>-PV(BondCalculator!$B$9/12,B359,0,1,0)</f>
        <v>0.16938775601304512</v>
      </c>
      <c r="S359" s="64">
        <f t="shared" si="50"/>
        <v>0</v>
      </c>
    </row>
    <row r="360" spans="1:19" ht="16.05" customHeight="1" x14ac:dyDescent="0.25">
      <c r="A360" s="61" t="s">
        <v>124</v>
      </c>
      <c r="B360" s="72">
        <v>357</v>
      </c>
      <c r="C360" s="12">
        <f t="shared" si="53"/>
        <v>0</v>
      </c>
      <c r="D360" s="12">
        <f>IF(G359=0,0,IF(G359&lt;BondCalculator!$B$12,G359+E360,BondCalculator!$B$12))</f>
        <v>0</v>
      </c>
      <c r="E360" s="12">
        <f>C360*BondCalculator!$B$5/12</f>
        <v>0</v>
      </c>
      <c r="F360" s="12">
        <f t="shared" si="45"/>
        <v>0</v>
      </c>
      <c r="G360" s="12">
        <f t="shared" si="51"/>
        <v>0</v>
      </c>
      <c r="H360" s="22">
        <f t="shared" si="52"/>
        <v>0</v>
      </c>
      <c r="J360" s="51">
        <f t="shared" si="46"/>
        <v>0</v>
      </c>
      <c r="K360" s="51">
        <f>IF(N359=0,0,IF(N359&lt;BondCalculator!$B$12+BondCalculator!$B$7,N359+L360,BondCalculator!$B$12+BondCalculator!$B$7))</f>
        <v>0</v>
      </c>
      <c r="L360" s="51">
        <f>J360*BondCalculator!$B$5/12</f>
        <v>0</v>
      </c>
      <c r="M360" s="51">
        <f t="shared" si="47"/>
        <v>0</v>
      </c>
      <c r="N360" s="51">
        <f t="shared" si="48"/>
        <v>0</v>
      </c>
      <c r="P360" s="51">
        <f t="shared" si="49"/>
        <v>0</v>
      </c>
      <c r="Q360" s="63">
        <f>-PV(BondCalculator!$B$9/12,B360,0,1,0)</f>
        <v>0.16854503085875142</v>
      </c>
      <c r="S360" s="64">
        <f t="shared" si="50"/>
        <v>0</v>
      </c>
    </row>
    <row r="361" spans="1:19" ht="16.05" customHeight="1" x14ac:dyDescent="0.25">
      <c r="A361" s="61" t="s">
        <v>124</v>
      </c>
      <c r="B361" s="72">
        <v>358</v>
      </c>
      <c r="C361" s="12">
        <f t="shared" si="53"/>
        <v>0</v>
      </c>
      <c r="D361" s="12">
        <f>IF(G360=0,0,IF(G360&lt;BondCalculator!$B$12,G360+E361,BondCalculator!$B$12))</f>
        <v>0</v>
      </c>
      <c r="E361" s="12">
        <f>C361*BondCalculator!$B$5/12</f>
        <v>0</v>
      </c>
      <c r="F361" s="12">
        <f t="shared" si="45"/>
        <v>0</v>
      </c>
      <c r="G361" s="12">
        <f t="shared" si="51"/>
        <v>0</v>
      </c>
      <c r="H361" s="22">
        <f t="shared" si="52"/>
        <v>0</v>
      </c>
      <c r="J361" s="51">
        <f t="shared" si="46"/>
        <v>0</v>
      </c>
      <c r="K361" s="51">
        <f>IF(N360=0,0,IF(N360&lt;BondCalculator!$B$12+BondCalculator!$B$7,N360+L361,BondCalculator!$B$12+BondCalculator!$B$7))</f>
        <v>0</v>
      </c>
      <c r="L361" s="51">
        <f>J361*BondCalculator!$B$5/12</f>
        <v>0</v>
      </c>
      <c r="M361" s="51">
        <f t="shared" si="47"/>
        <v>0</v>
      </c>
      <c r="N361" s="51">
        <f t="shared" si="48"/>
        <v>0</v>
      </c>
      <c r="P361" s="51">
        <f t="shared" si="49"/>
        <v>0</v>
      </c>
      <c r="Q361" s="63">
        <f>-PV(BondCalculator!$B$9/12,B361,0,1,0)</f>
        <v>0.16770649836691684</v>
      </c>
      <c r="S361" s="64">
        <f t="shared" si="50"/>
        <v>0</v>
      </c>
    </row>
    <row r="362" spans="1:19" ht="16.05" customHeight="1" x14ac:dyDescent="0.25">
      <c r="A362" s="61" t="s">
        <v>124</v>
      </c>
      <c r="B362" s="72">
        <v>359</v>
      </c>
      <c r="C362" s="12">
        <f t="shared" si="53"/>
        <v>0</v>
      </c>
      <c r="D362" s="12">
        <f>IF(G361=0,0,IF(G361&lt;BondCalculator!$B$12,G361+E362,BondCalculator!$B$12))</f>
        <v>0</v>
      </c>
      <c r="E362" s="12">
        <f>C362*BondCalculator!$B$5/12</f>
        <v>0</v>
      </c>
      <c r="F362" s="12">
        <f t="shared" si="45"/>
        <v>0</v>
      </c>
      <c r="G362" s="12">
        <f t="shared" si="51"/>
        <v>0</v>
      </c>
      <c r="H362" s="22">
        <f t="shared" si="52"/>
        <v>0</v>
      </c>
      <c r="J362" s="51">
        <f t="shared" si="46"/>
        <v>0</v>
      </c>
      <c r="K362" s="51">
        <f>IF(N361=0,0,IF(N361&lt;BondCalculator!$B$12+BondCalculator!$B$7,N361+L362,BondCalculator!$B$12+BondCalculator!$B$7))</f>
        <v>0</v>
      </c>
      <c r="L362" s="51">
        <f>J362*BondCalculator!$B$5/12</f>
        <v>0</v>
      </c>
      <c r="M362" s="51">
        <f t="shared" si="47"/>
        <v>0</v>
      </c>
      <c r="N362" s="51">
        <f t="shared" si="48"/>
        <v>0</v>
      </c>
      <c r="P362" s="51">
        <f t="shared" si="49"/>
        <v>0</v>
      </c>
      <c r="Q362" s="63">
        <f>-PV(BondCalculator!$B$9/12,B362,0,1,0)</f>
        <v>0.16687213767852424</v>
      </c>
      <c r="S362" s="64">
        <f t="shared" si="50"/>
        <v>0</v>
      </c>
    </row>
    <row r="363" spans="1:19" ht="16.05" customHeight="1" x14ac:dyDescent="0.25">
      <c r="A363" s="61" t="s">
        <v>124</v>
      </c>
      <c r="B363" s="72">
        <v>360</v>
      </c>
      <c r="C363" s="12">
        <f t="shared" si="53"/>
        <v>0</v>
      </c>
      <c r="D363" s="12">
        <f>IF(G362=0,0,IF(G362&lt;BondCalculator!$B$12,G362+E363,BondCalculator!$B$12))</f>
        <v>0</v>
      </c>
      <c r="E363" s="12">
        <f>C363*BondCalculator!$B$5/12</f>
        <v>0</v>
      </c>
      <c r="F363" s="12">
        <f t="shared" si="45"/>
        <v>0</v>
      </c>
      <c r="G363" s="12">
        <f t="shared" si="51"/>
        <v>0</v>
      </c>
      <c r="H363" s="22">
        <f t="shared" si="52"/>
        <v>0</v>
      </c>
      <c r="J363" s="51">
        <f t="shared" si="46"/>
        <v>0</v>
      </c>
      <c r="K363" s="51">
        <f>IF(N362=0,0,IF(N362&lt;BondCalculator!$B$12+BondCalculator!$B$7,N362+L363,BondCalculator!$B$12+BondCalculator!$B$7))</f>
        <v>0</v>
      </c>
      <c r="L363" s="51">
        <f>J363*BondCalculator!$B$5/12</f>
        <v>0</v>
      </c>
      <c r="M363" s="51">
        <f t="shared" si="47"/>
        <v>0</v>
      </c>
      <c r="N363" s="51">
        <f t="shared" si="48"/>
        <v>0</v>
      </c>
      <c r="P363" s="51">
        <f t="shared" si="49"/>
        <v>0</v>
      </c>
      <c r="Q363" s="63">
        <f>-PV(BondCalculator!$B$9/12,B363,0,1,0)</f>
        <v>0.16604192803833259</v>
      </c>
      <c r="S363" s="64">
        <f t="shared" si="50"/>
        <v>0</v>
      </c>
    </row>
    <row r="364" spans="1:19" ht="16.05" customHeight="1" x14ac:dyDescent="0.25">
      <c r="D364" s="12">
        <f>SUM(D4:D363)</f>
        <v>6398577.7890771702</v>
      </c>
      <c r="E364" s="12">
        <f>SUM(E4:E363)</f>
        <v>3898577.7890771548</v>
      </c>
      <c r="K364" s="73">
        <f>SUM(K4:K363)</f>
        <v>5431420.8416444054</v>
      </c>
      <c r="L364" s="73">
        <f>SUM(L4:L363)</f>
        <v>2931420.8416444021</v>
      </c>
      <c r="M364" s="73">
        <f>SUM(M4:M363)</f>
        <v>2499999.9999999986</v>
      </c>
      <c r="P364" s="51">
        <f>SUM(P4:P363)</f>
        <v>967156.94743274979</v>
      </c>
      <c r="S364" s="64">
        <f>SUM(S4:S363)</f>
        <v>453231.55081823142</v>
      </c>
    </row>
  </sheetData>
  <phoneticPr fontId="5" type="noConversion"/>
  <pageMargins left="0.75" right="0.75" top="1" bottom="1" header="0.5" footer="0.5"/>
  <pageSetup paperSize="9" scale="73" fitToHeight="6"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About</vt:lpstr>
      <vt:lpstr>Instructions</vt:lpstr>
      <vt:lpstr>BondCalculator</vt:lpstr>
      <vt:lpstr>BondRepayment</vt:lpstr>
      <vt:lpstr>NetDisposable</vt:lpstr>
      <vt:lpstr>AnnualAmort</vt:lpstr>
      <vt:lpstr>MonthAmort</vt:lpstr>
      <vt:lpstr>AnnualAmort!Print_Area</vt:lpstr>
      <vt:lpstr>AnnualAmort!Print_Titles</vt:lpstr>
      <vt:lpstr>Instructions!Print_Titles</vt:lpstr>
      <vt:lpstr>MonthAmort!Print_Titles</vt:lpstr>
      <vt:lpstr>NetDisposable!Print_Titles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Bond Calculator</dc:title>
  <dc:subject>Unique Excel Based Bond Calculator Template</dc:subject>
  <dc:creator>Property Reality</dc:creator>
  <cp:keywords>bond calculator, home loan calculator, bond repayment calculator, mortgage calculator</cp:keywords>
  <cp:lastModifiedBy>Wilhelm van Noordwyk</cp:lastModifiedBy>
  <cp:lastPrinted>2021-03-01T08:45:49Z</cp:lastPrinted>
  <dcterms:created xsi:type="dcterms:W3CDTF">2009-04-24T13:49:41Z</dcterms:created>
  <dcterms:modified xsi:type="dcterms:W3CDTF">2024-10-16T09:43:52Z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d95516db-7ec8-4901-abdd-676c0f71ca25</vt:lpwstr>
  </property>
</Properties>
</file>