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145" windowHeight="6975" tabRatio="688" activeTab="0"/>
  </bookViews>
  <sheets>
    <sheet name="About" sheetId="1" r:id="rId1"/>
    <sheet name="Instructions" sheetId="2" r:id="rId2"/>
    <sheet name="BondCalculator" sheetId="3" r:id="rId3"/>
    <sheet name="BondRepayment" sheetId="4" r:id="rId4"/>
    <sheet name="NetDisposable" sheetId="5" r:id="rId5"/>
    <sheet name="AnnualAmort" sheetId="6" r:id="rId6"/>
    <sheet name="MonthAmort" sheetId="7" r:id="rId7"/>
  </sheets>
  <definedNames>
    <definedName name="_xlnm.Print_Area" localSheetId="5">'AnnualAmort'!$A$1:$G$33</definedName>
    <definedName name="_xlnm.Print_Titles" localSheetId="5">'AnnualAmort'!$1:$3</definedName>
    <definedName name="_xlnm.Print_Titles" localSheetId="1">'Instructions'!$1:$4</definedName>
    <definedName name="_xlnm.Print_Titles" localSheetId="6">'MonthAmort'!$1:$3</definedName>
    <definedName name="_xlnm.Print_Titles" localSheetId="4">'NetDisposable'!$1:$1</definedName>
  </definedNames>
  <calcPr fullCalcOnLoad="1" iterate="1" iterateCount="100" iterateDelta="0.001"/>
</workbook>
</file>

<file path=xl/sharedStrings.xml><?xml version="1.0" encoding="utf-8"?>
<sst xmlns="http://schemas.openxmlformats.org/spreadsheetml/2006/main" count="563" uniqueCount="213">
  <si>
    <t>Interest</t>
  </si>
  <si>
    <t>Annual Interest Rate</t>
  </si>
  <si>
    <t>Loan Repayment</t>
  </si>
  <si>
    <t>% Capital Outstanding</t>
  </si>
  <si>
    <t>Repayment Number</t>
  </si>
  <si>
    <t>Bond Calculator</t>
  </si>
  <si>
    <t>Input Variables</t>
  </si>
  <si>
    <t>Bond Amount</t>
  </si>
  <si>
    <t>Monthly Bond Repayment</t>
  </si>
  <si>
    <t>Bond Period in Years</t>
  </si>
  <si>
    <t>Remuneration</t>
  </si>
  <si>
    <t>Operational Expenses</t>
  </si>
  <si>
    <t>Gross Salary</t>
  </si>
  <si>
    <t>Rent Paid</t>
  </si>
  <si>
    <t>Subsidies Received</t>
  </si>
  <si>
    <t>Water, Electricity &amp; Services</t>
  </si>
  <si>
    <t>Commission Received</t>
  </si>
  <si>
    <t>Rates &amp; Taxes</t>
  </si>
  <si>
    <t>Enter the average monthly commission received</t>
  </si>
  <si>
    <t>Total Allowances</t>
  </si>
  <si>
    <t>Repairs &amp; Maintenance</t>
  </si>
  <si>
    <t>Other</t>
  </si>
  <si>
    <t>Levies Paid</t>
  </si>
  <si>
    <t>Enter the total of any other remuneration received</t>
  </si>
  <si>
    <t>Deductions</t>
  </si>
  <si>
    <t>Insurance - Short Term</t>
  </si>
  <si>
    <t>Pension</t>
  </si>
  <si>
    <t>Insurance - Life</t>
  </si>
  <si>
    <t>Medical Aid</t>
  </si>
  <si>
    <t>Medical Costs</t>
  </si>
  <si>
    <t>Retirement Annuity</t>
  </si>
  <si>
    <t>Investments - Retirement Annuities</t>
  </si>
  <si>
    <t>Enter the total UIF deducted</t>
  </si>
  <si>
    <t>Income Tax (PAYE)</t>
  </si>
  <si>
    <t>Investments - Other</t>
  </si>
  <si>
    <t>Enter the total SDL deducted</t>
  </si>
  <si>
    <t>Unemployment Fund (UIF)</t>
  </si>
  <si>
    <t>Donations</t>
  </si>
  <si>
    <t>Skills Development Levy (SDL)</t>
  </si>
  <si>
    <t>Education</t>
  </si>
  <si>
    <t>This amount represents the monthly combined net remuneration</t>
  </si>
  <si>
    <t>Other Deductions</t>
  </si>
  <si>
    <t>Fuel &amp; Vehicle Maintenance</t>
  </si>
  <si>
    <t>Total Deductions</t>
  </si>
  <si>
    <t>Enter the monthly average rental income received from existing buy to let properties</t>
  </si>
  <si>
    <t>Net Remuneration</t>
  </si>
  <si>
    <t>Memberships</t>
  </si>
  <si>
    <t>Enter monthly maintenance amount received from a previous spouse</t>
  </si>
  <si>
    <t>Subscriptions</t>
  </si>
  <si>
    <t>Enter the total monthly pension received</t>
  </si>
  <si>
    <t>Other Income</t>
  </si>
  <si>
    <t>Domestic Wages</t>
  </si>
  <si>
    <t>Dividend Income</t>
  </si>
  <si>
    <t>Gardening</t>
  </si>
  <si>
    <t>Rental Income</t>
  </si>
  <si>
    <t>Groceries</t>
  </si>
  <si>
    <t>Enter the monthly rates and taxes paid on properties owned</t>
  </si>
  <si>
    <t>Maintenance</t>
  </si>
  <si>
    <t>Clothing</t>
  </si>
  <si>
    <t>Enter the average monthly repairs and maintenance on existing properties</t>
  </si>
  <si>
    <t>Monthly Pension</t>
  </si>
  <si>
    <t>Entertainment</t>
  </si>
  <si>
    <t>Total Other Income</t>
  </si>
  <si>
    <t>Maintenance Payments</t>
  </si>
  <si>
    <t>Enter the average monthly telephone, cell phone and internet expense</t>
  </si>
  <si>
    <t>Enter the current monthly insurance premium</t>
  </si>
  <si>
    <t>Total Operational Expenses</t>
  </si>
  <si>
    <t>Enter the current monthly life insurance premium</t>
  </si>
  <si>
    <t>Financing Expenses</t>
  </si>
  <si>
    <t>Enter the total monthly premiums associated with retirement annuities</t>
  </si>
  <si>
    <t>Bond Repayments</t>
  </si>
  <si>
    <t>Enter the average monthly payments relating to other investments</t>
  </si>
  <si>
    <t>Personal Loan Instalments</t>
  </si>
  <si>
    <t>Financing - Motor Vehicles</t>
  </si>
  <si>
    <t>Financing - Computers</t>
  </si>
  <si>
    <t>Financing - Furniture</t>
  </si>
  <si>
    <t>Credit Card Repayments</t>
  </si>
  <si>
    <t>Bank Charges</t>
  </si>
  <si>
    <t>Total Financing Expenses</t>
  </si>
  <si>
    <t>Enter the average monthly cost associated with gardening services / landscaping</t>
  </si>
  <si>
    <t>Enter the average monthly grocery spend</t>
  </si>
  <si>
    <t>Net Disposable Income Calculation</t>
  </si>
  <si>
    <t>Enter the average monthly clothing spend</t>
  </si>
  <si>
    <t>Enter the average monthly cost associated with entertainment, take-outs and restaurants</t>
  </si>
  <si>
    <t>Add: Other Income</t>
  </si>
  <si>
    <t>Less: Operational Expenses</t>
  </si>
  <si>
    <t>Less: Financing Expenses</t>
  </si>
  <si>
    <t>Net Disposable Income</t>
  </si>
  <si>
    <t>Input Field Guidance</t>
  </si>
  <si>
    <t>Interest Rate Safety</t>
  </si>
  <si>
    <t>Annual Interest Rate Sensitivity</t>
  </si>
  <si>
    <t>Average Annual Inflation Rate</t>
  </si>
  <si>
    <t>Bond Repayment</t>
  </si>
  <si>
    <t>PV Factor</t>
  </si>
  <si>
    <t>PV Interest</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</si>
  <si>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</si>
  <si>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</si>
  <si>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</si>
  <si>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</si>
  <si>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</si>
  <si>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</si>
  <si>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</si>
  <si>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</si>
  <si>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</si>
  <si>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</si>
  <si>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</si>
  <si>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</si>
  <si>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</si>
  <si>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</si>
  <si>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</si>
  <si>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</si>
  <si>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</si>
  <si>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</si>
  <si>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</si>
  <si>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</si>
  <si>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Annual Amortization Table</t>
  </si>
  <si>
    <t>Year 21</t>
  </si>
  <si>
    <t>Year 22</t>
  </si>
  <si>
    <t>Year 23</t>
  </si>
  <si>
    <t>Year 24</t>
  </si>
  <si>
    <t>Year 25</t>
  </si>
  <si>
    <t>Year 26</t>
  </si>
  <si>
    <t>Year 27</t>
  </si>
  <si>
    <t>Year 28</t>
  </si>
  <si>
    <t>Year 29</t>
  </si>
  <si>
    <t>Year 30</t>
  </si>
  <si>
    <t>Total Adjusted Interest over Bond Period</t>
  </si>
  <si>
    <t>Interest Saving</t>
  </si>
  <si>
    <t>Present Value of Interest Saving</t>
  </si>
  <si>
    <t>Amortization</t>
  </si>
  <si>
    <t>Increased Instalment</t>
  </si>
  <si>
    <t>Capital Repayment</t>
  </si>
  <si>
    <t>Minimum Required Net Disposable Income</t>
  </si>
  <si>
    <t>AnnualAmort Sheet</t>
  </si>
  <si>
    <t>NetDisposable Sheet</t>
  </si>
  <si>
    <t>BondCalculator Sheet</t>
  </si>
  <si>
    <t>MonthAmort Sheet</t>
  </si>
  <si>
    <t>Additional Monthly Bond Repayment</t>
  </si>
  <si>
    <t>Enter the average monthly vehicle fuel and maintenance costs</t>
  </si>
  <si>
    <t>Enter the monthly subscription fee applicable to television / cable rentals</t>
  </si>
  <si>
    <t>Enter the total monthly subscription fees applicable to newspapers, magazines, etc.</t>
  </si>
  <si>
    <t>Monthly Amortization Table</t>
  </si>
  <si>
    <t>Instructions</t>
  </si>
  <si>
    <t>This sheet includes a detailed calculation of the monthly net disposable income. All values should be entered as positive values. Refer to the guidance that has been included from row 38 downwards for more information on the input that is required in each input cell.</t>
  </si>
  <si>
    <t>The interest rate safety percentage indicates the percentage by which interest rates have to increase before the monthly net disposable income would not be sufficient to cover the required monthly bond repayments.</t>
  </si>
  <si>
    <t>Telephone / Cell Phone / Internet</t>
  </si>
  <si>
    <t>Enter the combined monthly gross household salaries</t>
  </si>
  <si>
    <t>Enter total of all subsidies received as part of remuneration, e.g.. housing subsidy</t>
  </si>
  <si>
    <t>Enter the total monthly allowances received as part of remuneration, e.g.. travel allowance, cell phone allowance, etc.</t>
  </si>
  <si>
    <t>Enter the total monthly pension fund deductions</t>
  </si>
  <si>
    <t>Enter the total monthly medical aid deductions</t>
  </si>
  <si>
    <t>Enter the total monthly retirement annuity contributions</t>
  </si>
  <si>
    <t>Enter the total monthly income tax deducted</t>
  </si>
  <si>
    <t>Enter the total of all other deductions, e.g.. funeral plan</t>
  </si>
  <si>
    <t>Enter the average monthly dividend income</t>
  </si>
  <si>
    <t>Enter the total monthly rent paid. If a primary residence is being acquired and a property is currently being rented, the rent amount should be excluded from the calculation</t>
  </si>
  <si>
    <t>Enter the monthly average for water, electricity and services paid to local government</t>
  </si>
  <si>
    <t>Enter the monthly levy payable to a body corporate for properties that form part of a complex</t>
  </si>
  <si>
    <t>Enter the average monthly medical costs that are not covered by a medical aid</t>
  </si>
  <si>
    <t>Enter the average monthly donations amount</t>
  </si>
  <si>
    <t>Enter the average monthly education cost, e.g.. school fees</t>
  </si>
  <si>
    <t>Enter the monthly average membership cost, e.g.. gym membership</t>
  </si>
  <si>
    <t>Enter the total monthly domestic wages, e.g.. housekeeper wages, gardener wages, etc.</t>
  </si>
  <si>
    <t>Enter a monthly total for maintenance payments relating to estranged spouses and dependents</t>
  </si>
  <si>
    <t>Enter total monthly cost of any other expense items that do not form part of any of the other categories</t>
  </si>
  <si>
    <t>Enter a monthly total for existing bond repayments</t>
  </si>
  <si>
    <t>Enter a monthly total for personal loan repayments</t>
  </si>
  <si>
    <t>Enter a monthly total for motor finance repayments</t>
  </si>
  <si>
    <t>Enter a monthly total for computer finance repayments</t>
  </si>
  <si>
    <t>Enter a monthly total for furniture finance repayments</t>
  </si>
  <si>
    <t>Enter a monthly total for credit card repayments</t>
  </si>
  <si>
    <t>Enter the average monthly combined bank charges</t>
  </si>
  <si>
    <t>Enter a total for any other financing payments that do not form part of the other financing cost categories</t>
  </si>
  <si>
    <t>Total Gross Remuneration</t>
  </si>
  <si>
    <t>Calculation Results</t>
  </si>
  <si>
    <t>Opening Balance</t>
  </si>
  <si>
    <t>Closing Balance</t>
  </si>
  <si>
    <t>Interest Charged</t>
  </si>
  <si>
    <t>Capital Repaid</t>
  </si>
  <si>
    <t>Bond calculators are sometimes also referred to as home loan calculators or mortgage calculators. The aim of this free Excel template is to enable users to calculate monthly bond repayments, determine the affordability of a home loan, calculate the interest savings that result from increased bond instalments and measure the sensitivity of bond repayments to changes in interest rates. After using this template, you will also gain a better understanding of home loan amortization and specifically the timing of capital repayments on a bond.</t>
  </si>
  <si>
    <t>The following sheets are included in this template:</t>
  </si>
  <si>
    <t>Maximum Bond Qualification Amount</t>
  </si>
  <si>
    <t>Increased Instalment Repayment Amount</t>
  </si>
  <si>
    <t>Adjusted Bond Repayment Period (in months)</t>
  </si>
  <si>
    <t>Adjusted Bond Repayment Period (in years)</t>
  </si>
  <si>
    <t>Monthly Difference</t>
  </si>
  <si>
    <t>The maximum bond qualification amount is calculated based on the net disposable income, annual interest rate and bond period. It represents an estimate of the maximum bond amount that applicants can qualify for based on their combined monthly net disposable income. There are a number of other factors that financial institutions will consider when determining the maximum bond qualification amount - our calculation should therefore only be seen as an estimate which cannot be guaranteed.</t>
  </si>
  <si>
    <t>Property Reality | Bond Calculator Template</t>
  </si>
  <si>
    <t>www.propertyreality.co.za</t>
  </si>
  <si>
    <t>Television Subscription</t>
  </si>
  <si>
    <t>Repayment Years</t>
  </si>
  <si>
    <t>Monthly Bond Repayment Table</t>
  </si>
  <si>
    <t>Interest Rate</t>
  </si>
  <si>
    <t>20 Years</t>
  </si>
  <si>
    <t>15 Years</t>
  </si>
  <si>
    <t>30 Years</t>
  </si>
  <si>
    <t>All the calculations in this template are based on the input values that are entered in the cells from cell B4 to B9 on the BondCalculator sheet (except for the net disposable income calculation). Input guidance is displayed below the selected input cell. We have also added data validation to all input cells to ensure that only valid user input is accepted.</t>
  </si>
  <si>
    <t>The monthly bond repayment amount is calculated from the bond amount (cell B4), bond period (cell B6) and the annual interest rate (cell B5).</t>
  </si>
  <si>
    <t>Total Interest Incurred over Bond Period</t>
  </si>
  <si>
    <t>The total interest incurred over the entire bond period is the total amount of interest that will have to be paid over the entire bond period.</t>
  </si>
  <si>
    <t>Total Bond Repayments over Bond Period</t>
  </si>
  <si>
    <t>The total bond repayments over the bond period is the sum of all the monthly bond repayment amounts. This amount consists of all interest charges and capital repayments.</t>
  </si>
  <si>
    <t>The monthly net disposable income is calculated on the NetDisposable sheet - refer to this sheet for more information on the calculation.</t>
  </si>
  <si>
    <t>The minimum required net disposable income is the minimum net disposable income that is required in order to qualify for the bond amount that is entered in cell B4.</t>
  </si>
  <si>
    <t>The increased instalment calculations in row 21 to 26 are based on the additional monthly bond repayment that is entered in cell B7. The assumption is made that the full additional bond repayment is deducted from the outstanding capital balance, thereby resulting in a shorter bond repayment period and a saving in interest. Note that the present value of the interest saving is calculated by discounting the monthly interest savings by the average annual inflation rate (specified in cell B9) over the entire bond period. It therefore represents the value of future interest savings in today's monetary terms.</t>
  </si>
  <si>
    <t>The interest rate sensitivity calculation measures the effect that changes in the bond interest rate have on monthly bond repayments. The interest rate sensitivity percentage that is entered in cell B8 is used for this purpose. Refer to the BondRepayment sheet for an analysis of monthly bond repayments.</t>
  </si>
  <si>
    <t>The capital repayment chart is a visual display of the timeline of capital repayments over the entire bond period.</t>
  </si>
  <si>
    <t>The increased instalment interest saving chart is a visual display of the interest savings that result from effecting increased monthly bond instalments.</t>
  </si>
  <si>
    <t>BondRepayment Sheet</t>
  </si>
  <si>
    <t>This sheet includes an analysis of monthly bond repayments based on the input values that are entered on the BondCalculator sheet. No user input is required on this sheet. The monthly bond repayment calculations are based on bond periods of 15, 20 and 30 years and include interest rates in a range of between 3% more and less than the annual bond interest rate that is specified on the BondCalculator sheet.</t>
  </si>
  <si>
    <t>This sheet includes an annual amortization table that is based on the bond input values that are entered in cell B4 to B6 on the BondCalculator sheet. No user input is required on this sheet. We recommend that you pay special attention to the outstanding capital percentage in column G because it indicates how the capital will be repaid over the entire bond period. You'll notice that during the first few years of the bond repayment period, the monthly bond repayments consist almost entirely of interest and during the latter years the interest is reduced as the outstanding bond balance is reduced and the capital portion of the bond repayment therefore increases.</t>
  </si>
  <si>
    <t>This sheet includes a monthly amortization table that is based on the bond input values that are entered in cell B4 to B6 on the BondCalculator sheet. No user input is required on this sheet.</t>
  </si>
  <si>
    <t>© www.propertyreality.co.za</t>
  </si>
</sst>
</file>

<file path=xl/styles.xml><?xml version="1.0" encoding="utf-8"?>
<styleSheet xmlns="http://schemas.openxmlformats.org/spreadsheetml/2006/main">
  <numFmts count="51">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1C09]dd\ mmmm\ yyyy"/>
    <numFmt numFmtId="165" formatCode="0.0%"/>
    <numFmt numFmtId="166" formatCode="_ * #,##0.000000000_ ;_ * \-#,##0.000000000_ ;_ * &quot;-&quot;?????????_ ;_ @_ "/>
    <numFmt numFmtId="167" formatCode="0.00_ ;\-0.00\ "/>
    <numFmt numFmtId="168" formatCode="mm/dd/yyyy"/>
    <numFmt numFmtId="169" formatCode="_ * #,##0.0_ ;_ * \-#,##0.0_ ;_ * &quot;-&quot;??_ ;_ @_ "/>
    <numFmt numFmtId="170" formatCode="_ * #,##0_ ;_ * \-#,##0_ ;_ * &quot;-&quot;??_ ;_ @_ "/>
    <numFmt numFmtId="171" formatCode="_ * #,##0.0_ ;_ * \-#,##0.0_ ;_ * &quot;-&quot;?_ ;_ @_ "/>
    <numFmt numFmtId="172" formatCode="mmm\-yyyy"/>
    <numFmt numFmtId="173" formatCode="_ * #,##0.000_ ;_ * \-#,##0.000_ ;_ * &quot;-&quot;??_ ;_ @_ "/>
    <numFmt numFmtId="174" formatCode="_ * #,##0.0000_ ;_ * \-#,##0.0000_ ;_ * &quot;-&quot;??_ ;_ @_ "/>
    <numFmt numFmtId="175" formatCode="_ * #,##0.00000_ ;_ * \-#,##0.00000_ ;_ * &quot;-&quot;??_ ;_ @_ "/>
    <numFmt numFmtId="176" formatCode="_ * #,##0.000000_ ;_ * \-#,##0.000000_ ;_ * &quot;-&quot;??_ ;_ @_ "/>
    <numFmt numFmtId="177" formatCode="_ * #,##0.0000000_ ;_ * \-#,##0.0000000_ ;_ * &quot;-&quot;??_ ;_ @_ "/>
    <numFmt numFmtId="178" formatCode="_ * #,##0.00000000_ ;_ * \-#,##0.00000000_ ;_ * &quot;-&quot;??_ ;_ @_ "/>
    <numFmt numFmtId="179" formatCode="_ * #,##0.000000000_ ;_ * \-#,##0.000000000_ ;_ * &quot;-&quot;??_ ;_ @_ "/>
    <numFmt numFmtId="180" formatCode="&quot;Yes&quot;;&quot;Yes&quot;;&quot;No&quot;"/>
    <numFmt numFmtId="181" formatCode="&quot;True&quot;;&quot;True&quot;;&quot;False&quot;"/>
    <numFmt numFmtId="182" formatCode="&quot;On&quot;;&quot;On&quot;;&quot;Off&quot;"/>
    <numFmt numFmtId="183" formatCode="[$€-2]\ #,##0.00_);[Red]\([$€-2]\ #,##0.00\)"/>
    <numFmt numFmtId="184" formatCode="#,##0.00_ ;\-#,##0.00\ "/>
    <numFmt numFmtId="185" formatCode="#,##0.000_ ;\-#,##0.000\ "/>
    <numFmt numFmtId="186" formatCode="_ * #,##0.000_ ;_ * \-#,##0.000_ ;_ * &quot;-&quot;???_ ;_ @_ "/>
    <numFmt numFmtId="187" formatCode="&quot;R&quot;\ #,##0.00000000;&quot;R&quot;\ \-#,##0.00000000"/>
    <numFmt numFmtId="188" formatCode="#,##0.0000_ ;\-#,##0.0000\ "/>
    <numFmt numFmtId="189" formatCode="&quot;R&quot;\ #,##0.0000;&quot;R&quot;\ \-#,##0.0000"/>
    <numFmt numFmtId="190" formatCode="&quot;R&quot;\ #,##0.00000000;[Red]&quot;R&quot;\ \-#,##0.00000000"/>
    <numFmt numFmtId="191" formatCode="_ * #,##0.0000_ ;_ * \-#,##0.0000_ ;_ * &quot;-&quot;????_ ;_ @_ "/>
    <numFmt numFmtId="192" formatCode="0.000%"/>
    <numFmt numFmtId="193" formatCode="0.0000%"/>
    <numFmt numFmtId="194" formatCode="0.00000%"/>
    <numFmt numFmtId="195" formatCode="0.000000%"/>
    <numFmt numFmtId="196" formatCode="_ * #,##0.00_ ;_ * \-#,##0.00_ ;_ * &quot;-&quot;???_ ;_ @_ "/>
    <numFmt numFmtId="197" formatCode="yyyy/mm/dd;@"/>
    <numFmt numFmtId="198" formatCode="[$-F800]dddd\,\ mmmm\ dd\,\ yyyy"/>
    <numFmt numFmtId="199" formatCode="yyyy"/>
    <numFmt numFmtId="200" formatCode="_(* #,##0_);_(* \(#,##0\);_(* &quot;-&quot;_);_(@_)"/>
    <numFmt numFmtId="201" formatCode="d\-mmm\-yy"/>
    <numFmt numFmtId="202" formatCode="&quot;R&quot;\ #,##0.000;&quot;R&quot;\ \-#,##0.000"/>
    <numFmt numFmtId="203" formatCode="_ * #,##0.0000000000_ ;_ * \-#,##0.0000000000_ ;_ * &quot;-&quot;??_ ;_ @_ "/>
    <numFmt numFmtId="204" formatCode="_ * #,##0.00000000000_ ;_ * \-#,##0.00000000000_ ;_ * &quot;-&quot;??_ ;_ @_ "/>
    <numFmt numFmtId="205" formatCode="_ * #,##0.000000000000_ ;_ * \-#,##0.000000000000_ ;_ * &quot;-&quot;??_ ;_ @_ "/>
    <numFmt numFmtId="206" formatCode="#,##0_ ;\-#,##0\ "/>
  </numFmts>
  <fonts count="78">
    <font>
      <sz val="10"/>
      <name val="Arial"/>
      <family val="0"/>
    </font>
    <font>
      <u val="single"/>
      <sz val="8"/>
      <color indexed="36"/>
      <name val="Arial"/>
      <family val="2"/>
    </font>
    <font>
      <u val="single"/>
      <sz val="8"/>
      <color indexed="12"/>
      <name val="Arial"/>
      <family val="2"/>
    </font>
    <font>
      <sz val="8"/>
      <name val="Arial"/>
      <family val="2"/>
    </font>
    <font>
      <b/>
      <sz val="14"/>
      <name val="Arial"/>
      <family val="2"/>
    </font>
    <font>
      <b/>
      <sz val="11"/>
      <color indexed="9"/>
      <name val="Arial"/>
      <family val="2"/>
    </font>
    <font>
      <b/>
      <sz val="11"/>
      <name val="Arial"/>
      <family val="2"/>
    </font>
    <font>
      <b/>
      <u val="single"/>
      <sz val="12"/>
      <color indexed="17"/>
      <name val="Calibri"/>
      <family val="2"/>
    </font>
    <font>
      <b/>
      <sz val="12"/>
      <name val="Arial"/>
      <family val="2"/>
    </font>
    <font>
      <i/>
      <sz val="11"/>
      <name val="Arial"/>
      <family val="2"/>
    </font>
    <font>
      <b/>
      <sz val="9.5"/>
      <name val="Arial"/>
      <family val="2"/>
    </font>
    <font>
      <sz val="9.5"/>
      <name val="Arial"/>
      <family val="2"/>
    </font>
    <font>
      <sz val="11"/>
      <name val="Arial"/>
      <family val="2"/>
    </font>
    <font>
      <sz val="12"/>
      <name val="Arial"/>
      <family val="2"/>
    </font>
    <font>
      <sz val="12"/>
      <color indexed="12"/>
      <name val="Arial"/>
      <family val="2"/>
    </font>
    <font>
      <sz val="9.5"/>
      <color indexed="8"/>
      <name val="Arial"/>
      <family val="2"/>
    </font>
    <font>
      <b/>
      <sz val="9.5"/>
      <color indexed="8"/>
      <name val="Arial"/>
      <family val="2"/>
    </font>
    <font>
      <sz val="9.5"/>
      <color indexed="12"/>
      <name val="Arial"/>
      <family val="2"/>
    </font>
    <font>
      <b/>
      <sz val="9.5"/>
      <color indexed="12"/>
      <name val="Arial"/>
      <family val="2"/>
    </font>
    <font>
      <sz val="11"/>
      <color indexed="12"/>
      <name val="Arial"/>
      <family val="2"/>
    </font>
    <font>
      <sz val="9.5"/>
      <color indexed="9"/>
      <name val="Arial"/>
      <family val="2"/>
    </font>
    <font>
      <b/>
      <u val="single"/>
      <sz val="11"/>
      <color indexed="53"/>
      <name val="Arial"/>
      <family val="2"/>
    </font>
    <font>
      <b/>
      <sz val="9.5"/>
      <color indexed="9"/>
      <name val="Arial"/>
      <family val="2"/>
    </font>
    <font>
      <b/>
      <sz val="12"/>
      <color indexed="18"/>
      <name val="Arial"/>
      <family val="2"/>
    </font>
    <font>
      <sz val="9.5"/>
      <color indexed="18"/>
      <name val="Arial"/>
      <family val="2"/>
    </font>
    <font>
      <b/>
      <sz val="9.5"/>
      <color indexed="18"/>
      <name val="Arial"/>
      <family val="2"/>
    </font>
    <font>
      <sz val="12"/>
      <color indexed="18"/>
      <name val="Arial"/>
      <family val="2"/>
    </font>
    <font>
      <sz val="11"/>
      <color indexed="18"/>
      <name val="Arial"/>
      <family val="2"/>
    </font>
    <font>
      <b/>
      <sz val="12"/>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43"/>
      <name val="Arial"/>
      <family val="0"/>
    </font>
    <font>
      <b/>
      <sz val="10.5"/>
      <color indexed="9"/>
      <name val="Arial"/>
      <family val="0"/>
    </font>
    <font>
      <sz val="10"/>
      <color indexed="9"/>
      <name val="Arial"/>
      <family val="0"/>
    </font>
    <font>
      <sz val="10.5"/>
      <color indexed="9"/>
      <name val="Arial"/>
      <family val="0"/>
    </font>
    <font>
      <sz val="10"/>
      <color indexed="43"/>
      <name val="Arial"/>
      <family val="0"/>
    </font>
    <font>
      <b/>
      <sz val="10.5"/>
      <color indexed="43"/>
      <name val="Arial"/>
      <family val="0"/>
    </font>
    <font>
      <b/>
      <u val="single"/>
      <sz val="11"/>
      <color indexed="43"/>
      <name val="Arial"/>
      <family val="0"/>
    </font>
    <font>
      <b/>
      <sz val="8"/>
      <color indexed="9"/>
      <name val="Arial"/>
      <family val="0"/>
    </font>
    <font>
      <sz val="10"/>
      <color indexed="8"/>
      <name val="Arial"/>
      <family val="0"/>
    </font>
    <font>
      <b/>
      <sz val="9"/>
      <color indexed="9"/>
      <name val="Arial"/>
      <family val="0"/>
    </font>
    <font>
      <sz val="9"/>
      <color indexed="9"/>
      <name val="Arial"/>
      <family val="0"/>
    </font>
    <font>
      <sz val="5.25"/>
      <color indexed="8"/>
      <name val="Arial"/>
      <family val="0"/>
    </font>
    <font>
      <b/>
      <sz val="9"/>
      <color indexed="43"/>
      <name val="Arial"/>
      <family val="0"/>
    </font>
    <font>
      <b/>
      <sz val="12"/>
      <color indexed="9"/>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5"/>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8"/>
        <bgColor indexed="64"/>
      </patternFill>
    </fill>
    <fill>
      <patternFill patternType="solid">
        <fgColor indexed="4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double"/>
      <bottom>
        <color indexed="63"/>
      </bottom>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style="thin">
        <color indexed="8"/>
      </left>
      <right style="thin"/>
      <top style="thin"/>
      <bottom style="thin"/>
    </border>
  </borders>
  <cellStyleXfs count="66">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2"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131">
    <xf numFmtId="0" fontId="0" fillId="0" borderId="0" xfId="0" applyAlignment="1">
      <alignment wrapText="1"/>
    </xf>
    <xf numFmtId="0" fontId="0" fillId="0" borderId="0" xfId="0" applyAlignment="1" applyProtection="1">
      <alignment horizontal="justify"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9" fillId="0" borderId="0" xfId="0" applyFont="1" applyAlignment="1" applyProtection="1">
      <alignment horizontal="justify" vertical="center" wrapText="1"/>
      <protection hidden="1"/>
    </xf>
    <xf numFmtId="0" fontId="0" fillId="0" borderId="0" xfId="0" applyFont="1" applyAlignment="1" applyProtection="1">
      <alignment horizontal="justify" vertical="center" wrapText="1"/>
      <protection hidden="1"/>
    </xf>
    <xf numFmtId="0" fontId="6" fillId="0" borderId="0" xfId="0" applyFont="1" applyAlignment="1" applyProtection="1">
      <alignment horizontal="justify" vertical="center" wrapText="1"/>
      <protection hidden="1"/>
    </xf>
    <xf numFmtId="0" fontId="0" fillId="0" borderId="0" xfId="0" applyAlignment="1" applyProtection="1">
      <alignment wrapText="1"/>
      <protection hidden="1"/>
    </xf>
    <xf numFmtId="0" fontId="0" fillId="0" borderId="0" xfId="0" applyAlignment="1" applyProtection="1">
      <alignment horizontal="justify" wrapText="1"/>
      <protection hidden="1"/>
    </xf>
    <xf numFmtId="0" fontId="4" fillId="0" borderId="0" xfId="0" applyFont="1" applyAlignment="1" applyProtection="1">
      <alignment/>
      <protection hidden="1"/>
    </xf>
    <xf numFmtId="0" fontId="7" fillId="0" borderId="0" xfId="53" applyFont="1" applyAlignment="1" applyProtection="1">
      <alignment horizontal="right"/>
      <protection hidden="1"/>
    </xf>
    <xf numFmtId="0" fontId="9" fillId="0" borderId="0" xfId="58" applyFont="1" applyProtection="1">
      <alignment/>
      <protection hidden="1"/>
    </xf>
    <xf numFmtId="0" fontId="11" fillId="0" borderId="0" xfId="0" applyFont="1" applyAlignment="1" applyProtection="1">
      <alignment/>
      <protection hidden="1"/>
    </xf>
    <xf numFmtId="0" fontId="6" fillId="0" borderId="0" xfId="0" applyFont="1" applyAlignment="1" applyProtection="1">
      <alignment/>
      <protection hidden="1"/>
    </xf>
    <xf numFmtId="43" fontId="11" fillId="0" borderId="0" xfId="42" applyFont="1" applyAlignment="1" applyProtection="1">
      <alignment/>
      <protection hidden="1"/>
    </xf>
    <xf numFmtId="43" fontId="11" fillId="0" borderId="0" xfId="0" applyNumberFormat="1" applyFont="1" applyAlignment="1" applyProtection="1">
      <alignment/>
      <protection hidden="1"/>
    </xf>
    <xf numFmtId="170" fontId="11" fillId="0" borderId="0" xfId="0" applyNumberFormat="1" applyFont="1" applyAlignment="1" applyProtection="1">
      <alignment/>
      <protection hidden="1"/>
    </xf>
    <xf numFmtId="10" fontId="11" fillId="0" borderId="0" xfId="62" applyNumberFormat="1" applyFont="1" applyAlignment="1" applyProtection="1">
      <alignment/>
      <protection hidden="1"/>
    </xf>
    <xf numFmtId="0" fontId="8" fillId="0" borderId="0" xfId="58" applyFont="1" applyBorder="1" applyAlignment="1" applyProtection="1">
      <alignment horizontal="left"/>
      <protection hidden="1"/>
    </xf>
    <xf numFmtId="0" fontId="13" fillId="0" borderId="0" xfId="58" applyFont="1" applyProtection="1">
      <alignment/>
      <protection hidden="1"/>
    </xf>
    <xf numFmtId="0" fontId="10" fillId="0" borderId="0" xfId="58" applyFont="1" applyBorder="1" applyProtection="1">
      <alignment/>
      <protection hidden="1"/>
    </xf>
    <xf numFmtId="170" fontId="11" fillId="0" borderId="0" xfId="42" applyNumberFormat="1" applyFont="1" applyBorder="1" applyAlignment="1" applyProtection="1">
      <alignment/>
      <protection hidden="1"/>
    </xf>
    <xf numFmtId="0" fontId="10" fillId="0" borderId="0" xfId="58" applyFont="1" applyFill="1" applyBorder="1" applyProtection="1">
      <alignment/>
      <protection hidden="1"/>
    </xf>
    <xf numFmtId="0" fontId="11" fillId="0" borderId="0" xfId="58" applyFont="1" applyProtection="1">
      <alignment/>
      <protection hidden="1"/>
    </xf>
    <xf numFmtId="0" fontId="11" fillId="0" borderId="0" xfId="58" applyFont="1" applyBorder="1" applyProtection="1">
      <alignment/>
      <protection hidden="1"/>
    </xf>
    <xf numFmtId="0" fontId="11" fillId="0" borderId="0" xfId="58" applyFont="1" applyFill="1" applyBorder="1" applyProtection="1">
      <alignment/>
      <protection hidden="1"/>
    </xf>
    <xf numFmtId="0" fontId="15" fillId="0" borderId="0" xfId="58" applyFont="1" applyBorder="1" applyProtection="1">
      <alignment/>
      <protection hidden="1"/>
    </xf>
    <xf numFmtId="0" fontId="11" fillId="0" borderId="0" xfId="58" applyFont="1" applyFill="1" applyBorder="1" applyProtection="1">
      <alignment/>
      <protection hidden="1"/>
    </xf>
    <xf numFmtId="170" fontId="10" fillId="33" borderId="10" xfId="42" applyNumberFormat="1" applyFont="1" applyFill="1" applyBorder="1" applyAlignment="1" applyProtection="1">
      <alignment/>
      <protection hidden="1"/>
    </xf>
    <xf numFmtId="0" fontId="15" fillId="0" borderId="0" xfId="58" applyFont="1" applyFill="1" applyBorder="1" applyProtection="1">
      <alignment/>
      <protection hidden="1"/>
    </xf>
    <xf numFmtId="0" fontId="16" fillId="0" borderId="0" xfId="58" applyFont="1" applyFill="1" applyBorder="1" applyProtection="1">
      <alignment/>
      <protection hidden="1"/>
    </xf>
    <xf numFmtId="0" fontId="17" fillId="0" borderId="0" xfId="58" applyFont="1" applyProtection="1">
      <alignment/>
      <protection hidden="1"/>
    </xf>
    <xf numFmtId="170" fontId="10" fillId="0" borderId="0" xfId="42" applyNumberFormat="1" applyFont="1" applyBorder="1" applyAlignment="1" applyProtection="1">
      <alignment/>
      <protection hidden="1"/>
    </xf>
    <xf numFmtId="0" fontId="10" fillId="0" borderId="0" xfId="58" applyFont="1" applyProtection="1">
      <alignment/>
      <protection hidden="1"/>
    </xf>
    <xf numFmtId="0" fontId="11" fillId="0" borderId="0" xfId="58" applyFont="1" applyBorder="1" applyProtection="1">
      <alignment/>
      <protection hidden="1"/>
    </xf>
    <xf numFmtId="0" fontId="11" fillId="0" borderId="11" xfId="58" applyFont="1" applyBorder="1" applyProtection="1">
      <alignment/>
      <protection hidden="1"/>
    </xf>
    <xf numFmtId="170" fontId="11" fillId="0" borderId="11" xfId="42" applyNumberFormat="1" applyFont="1" applyBorder="1" applyAlignment="1" applyProtection="1">
      <alignment/>
      <protection hidden="1"/>
    </xf>
    <xf numFmtId="0" fontId="17" fillId="0" borderId="11" xfId="58" applyFont="1" applyBorder="1" applyProtection="1">
      <alignment/>
      <protection hidden="1"/>
    </xf>
    <xf numFmtId="0" fontId="11" fillId="0" borderId="0" xfId="58" applyFont="1" applyProtection="1">
      <alignment/>
      <protection hidden="1"/>
    </xf>
    <xf numFmtId="170" fontId="11" fillId="0" borderId="0" xfId="42" applyNumberFormat="1" applyFont="1" applyAlignment="1" applyProtection="1">
      <alignment/>
      <protection hidden="1"/>
    </xf>
    <xf numFmtId="0" fontId="17" fillId="0" borderId="0" xfId="58" applyFont="1" applyProtection="1">
      <alignment/>
      <protection hidden="1"/>
    </xf>
    <xf numFmtId="170" fontId="10" fillId="33" borderId="12" xfId="42" applyNumberFormat="1" applyFont="1" applyFill="1" applyBorder="1" applyAlignment="1" applyProtection="1">
      <alignment/>
      <protection hidden="1"/>
    </xf>
    <xf numFmtId="170" fontId="11" fillId="0" borderId="0" xfId="42" applyNumberFormat="1" applyFont="1" applyAlignment="1" applyProtection="1">
      <alignment/>
      <protection hidden="1"/>
    </xf>
    <xf numFmtId="0" fontId="8" fillId="0" borderId="0" xfId="58" applyFont="1" applyBorder="1" applyProtection="1">
      <alignment/>
      <protection hidden="1"/>
    </xf>
    <xf numFmtId="170" fontId="8" fillId="33" borderId="12" xfId="42" applyNumberFormat="1" applyFont="1" applyFill="1" applyBorder="1" applyAlignment="1" applyProtection="1">
      <alignment/>
      <protection hidden="1"/>
    </xf>
    <xf numFmtId="170" fontId="13" fillId="0" borderId="0" xfId="42" applyNumberFormat="1" applyFont="1" applyAlignment="1" applyProtection="1">
      <alignment/>
      <protection hidden="1"/>
    </xf>
    <xf numFmtId="0" fontId="14" fillId="0" borderId="0" xfId="58" applyFont="1" applyProtection="1">
      <alignment/>
      <protection hidden="1"/>
    </xf>
    <xf numFmtId="170" fontId="11" fillId="0" borderId="0" xfId="42" applyNumberFormat="1" applyFont="1" applyBorder="1" applyAlignment="1" applyProtection="1">
      <alignment/>
      <protection hidden="1"/>
    </xf>
    <xf numFmtId="0" fontId="18" fillId="0" borderId="0" xfId="58" applyFont="1" applyProtection="1">
      <alignment/>
      <protection hidden="1"/>
    </xf>
    <xf numFmtId="0" fontId="18" fillId="0" borderId="0" xfId="58" applyFont="1" applyBorder="1" applyProtection="1">
      <alignment/>
      <protection hidden="1"/>
    </xf>
    <xf numFmtId="170" fontId="18" fillId="0" borderId="0" xfId="42" applyNumberFormat="1" applyFont="1" applyBorder="1" applyAlignment="1" applyProtection="1">
      <alignment/>
      <protection hidden="1"/>
    </xf>
    <xf numFmtId="0" fontId="10" fillId="0" borderId="0" xfId="58" applyFont="1" applyFill="1" applyBorder="1" applyAlignment="1" applyProtection="1">
      <alignment wrapText="1"/>
      <protection hidden="1"/>
    </xf>
    <xf numFmtId="0" fontId="15" fillId="0" borderId="0" xfId="58" applyFont="1" applyProtection="1">
      <alignment/>
      <protection hidden="1"/>
    </xf>
    <xf numFmtId="0" fontId="12" fillId="0" borderId="0" xfId="58" applyFont="1" applyProtection="1">
      <alignment/>
      <protection hidden="1"/>
    </xf>
    <xf numFmtId="170" fontId="12" fillId="0" borderId="0" xfId="42" applyNumberFormat="1" applyFont="1" applyAlignment="1" applyProtection="1">
      <alignment/>
      <protection hidden="1"/>
    </xf>
    <xf numFmtId="0" fontId="19" fillId="0" borderId="0" xfId="58" applyFont="1" applyProtection="1">
      <alignment/>
      <protection hidden="1"/>
    </xf>
    <xf numFmtId="0" fontId="20" fillId="0" borderId="0" xfId="0" applyFont="1" applyAlignment="1" applyProtection="1">
      <alignment/>
      <protection hidden="1"/>
    </xf>
    <xf numFmtId="43" fontId="20" fillId="0" borderId="0" xfId="42" applyFont="1" applyAlignment="1" applyProtection="1">
      <alignment/>
      <protection hidden="1"/>
    </xf>
    <xf numFmtId="0" fontId="12" fillId="0" borderId="0" xfId="0" applyFont="1" applyAlignment="1" applyProtection="1">
      <alignment wrapText="1"/>
      <protection hidden="1"/>
    </xf>
    <xf numFmtId="0" fontId="5" fillId="0" borderId="0" xfId="0" applyFont="1" applyAlignment="1" applyProtection="1">
      <alignment horizontal="center" wrapText="1"/>
      <protection hidden="1"/>
    </xf>
    <xf numFmtId="43" fontId="5" fillId="0" borderId="0" xfId="42" applyFont="1" applyBorder="1" applyAlignment="1" applyProtection="1">
      <alignment horizontal="center" wrapText="1"/>
      <protection hidden="1"/>
    </xf>
    <xf numFmtId="165" fontId="11" fillId="0" borderId="0" xfId="62" applyNumberFormat="1" applyFont="1" applyAlignment="1" applyProtection="1">
      <alignment/>
      <protection hidden="1"/>
    </xf>
    <xf numFmtId="43" fontId="20" fillId="0" borderId="0" xfId="0" applyNumberFormat="1" applyFont="1" applyAlignment="1" applyProtection="1">
      <alignment/>
      <protection hidden="1"/>
    </xf>
    <xf numFmtId="0" fontId="11" fillId="0" borderId="0" xfId="59" applyFont="1" applyProtection="1">
      <alignment/>
      <protection hidden="1"/>
    </xf>
    <xf numFmtId="43" fontId="11" fillId="0" borderId="0" xfId="42" applyFont="1" applyAlignment="1" applyProtection="1">
      <alignment/>
      <protection hidden="1"/>
    </xf>
    <xf numFmtId="0" fontId="20" fillId="0" borderId="0" xfId="59" applyFont="1" applyProtection="1">
      <alignment/>
      <protection hidden="1"/>
    </xf>
    <xf numFmtId="43" fontId="20" fillId="0" borderId="0" xfId="42" applyFont="1" applyAlignment="1" applyProtection="1">
      <alignment/>
      <protection hidden="1"/>
    </xf>
    <xf numFmtId="185" fontId="20" fillId="0" borderId="0" xfId="42" applyNumberFormat="1" applyFont="1" applyAlignment="1" applyProtection="1">
      <alignment/>
      <protection hidden="1"/>
    </xf>
    <xf numFmtId="196" fontId="20" fillId="0" borderId="0" xfId="59" applyNumberFormat="1" applyFont="1" applyProtection="1">
      <alignment/>
      <protection hidden="1"/>
    </xf>
    <xf numFmtId="0" fontId="6" fillId="0" borderId="0" xfId="59" applyFont="1" applyAlignment="1" applyProtection="1">
      <alignment horizontal="center" wrapText="1"/>
      <protection hidden="1"/>
    </xf>
    <xf numFmtId="165" fontId="6" fillId="0" borderId="0" xfId="62" applyNumberFormat="1" applyFont="1" applyAlignment="1" applyProtection="1">
      <alignment horizontal="center" wrapText="1"/>
      <protection hidden="1"/>
    </xf>
    <xf numFmtId="43" fontId="5" fillId="0" borderId="0" xfId="42" applyFont="1" applyAlignment="1" applyProtection="1">
      <alignment horizontal="center" wrapText="1"/>
      <protection hidden="1"/>
    </xf>
    <xf numFmtId="185" fontId="5" fillId="0" borderId="0" xfId="42" applyNumberFormat="1" applyFont="1" applyAlignment="1" applyProtection="1">
      <alignment horizontal="center" wrapText="1"/>
      <protection hidden="1"/>
    </xf>
    <xf numFmtId="196" fontId="5" fillId="0" borderId="0" xfId="59" applyNumberFormat="1" applyFont="1" applyAlignment="1" applyProtection="1">
      <alignment horizontal="center" wrapText="1"/>
      <protection hidden="1"/>
    </xf>
    <xf numFmtId="0" fontId="11" fillId="0" borderId="0" xfId="59" applyFont="1" applyAlignment="1" applyProtection="1">
      <alignment horizontal="center"/>
      <protection hidden="1"/>
    </xf>
    <xf numFmtId="43" fontId="11" fillId="0" borderId="0" xfId="42" applyNumberFormat="1" applyFont="1" applyAlignment="1" applyProtection="1">
      <alignment/>
      <protection hidden="1"/>
    </xf>
    <xf numFmtId="10" fontId="11" fillId="0" borderId="0" xfId="62" applyNumberFormat="1" applyFont="1" applyAlignment="1" applyProtection="1">
      <alignment/>
      <protection hidden="1"/>
    </xf>
    <xf numFmtId="43" fontId="20" fillId="0" borderId="0" xfId="59" applyNumberFormat="1" applyFont="1" applyProtection="1">
      <alignment/>
      <protection hidden="1"/>
    </xf>
    <xf numFmtId="0" fontId="11" fillId="0" borderId="0" xfId="0" applyFont="1" applyAlignment="1" applyProtection="1">
      <alignment horizontal="center"/>
      <protection hidden="1"/>
    </xf>
    <xf numFmtId="0" fontId="21" fillId="0" borderId="0" xfId="53" applyFont="1" applyAlignment="1" applyProtection="1">
      <alignment horizontal="right"/>
      <protection hidden="1"/>
    </xf>
    <xf numFmtId="0" fontId="22" fillId="34" borderId="13" xfId="0" applyFont="1" applyFill="1" applyBorder="1" applyAlignment="1" applyProtection="1">
      <alignment/>
      <protection hidden="1"/>
    </xf>
    <xf numFmtId="0" fontId="23" fillId="0" borderId="0" xfId="58" applyFont="1" applyBorder="1" applyAlignment="1" applyProtection="1">
      <alignment horizontal="left"/>
      <protection hidden="1"/>
    </xf>
    <xf numFmtId="0" fontId="24" fillId="0" borderId="0" xfId="42" applyNumberFormat="1" applyFont="1" applyFill="1" applyBorder="1" applyAlignment="1" applyProtection="1">
      <alignment horizontal="center"/>
      <protection hidden="1"/>
    </xf>
    <xf numFmtId="0" fontId="25" fillId="0" borderId="0" xfId="42" applyNumberFormat="1" applyFont="1" applyFill="1" applyBorder="1" applyAlignment="1" applyProtection="1">
      <alignment horizontal="center"/>
      <protection hidden="1"/>
    </xf>
    <xf numFmtId="0" fontId="24" fillId="0" borderId="11" xfId="42" applyNumberFormat="1" applyFont="1" applyFill="1" applyBorder="1" applyAlignment="1" applyProtection="1">
      <alignment horizontal="center"/>
      <protection hidden="1"/>
    </xf>
    <xf numFmtId="0" fontId="26" fillId="0" borderId="0" xfId="42" applyNumberFormat="1" applyFont="1" applyFill="1" applyBorder="1" applyAlignment="1" applyProtection="1">
      <alignment horizontal="center"/>
      <protection hidden="1"/>
    </xf>
    <xf numFmtId="0" fontId="25" fillId="0" borderId="0" xfId="58" applyFont="1" applyFill="1" applyBorder="1" applyAlignment="1" applyProtection="1">
      <alignment wrapText="1"/>
      <protection hidden="1"/>
    </xf>
    <xf numFmtId="0" fontId="24" fillId="0" borderId="0" xfId="42" applyNumberFormat="1" applyFont="1" applyFill="1" applyAlignment="1" applyProtection="1">
      <alignment horizontal="center"/>
      <protection hidden="1"/>
    </xf>
    <xf numFmtId="0" fontId="27" fillId="0" borderId="0" xfId="42" applyNumberFormat="1" applyFont="1" applyFill="1" applyAlignment="1" applyProtection="1">
      <alignment horizontal="center"/>
      <protection hidden="1"/>
    </xf>
    <xf numFmtId="0" fontId="24" fillId="0" borderId="0" xfId="42" applyNumberFormat="1" applyFont="1" applyBorder="1" applyAlignment="1" applyProtection="1">
      <alignment horizontal="center"/>
      <protection hidden="1"/>
    </xf>
    <xf numFmtId="0" fontId="24" fillId="0" borderId="11" xfId="42" applyNumberFormat="1" applyFont="1" applyBorder="1" applyAlignment="1" applyProtection="1">
      <alignment horizontal="center"/>
      <protection hidden="1"/>
    </xf>
    <xf numFmtId="0" fontId="24" fillId="0" borderId="0" xfId="42" applyNumberFormat="1" applyFont="1" applyAlignment="1" applyProtection="1">
      <alignment horizontal="center"/>
      <protection hidden="1"/>
    </xf>
    <xf numFmtId="0" fontId="26" fillId="0" borderId="0" xfId="42" applyNumberFormat="1" applyFont="1" applyAlignment="1" applyProtection="1">
      <alignment horizontal="center"/>
      <protection hidden="1"/>
    </xf>
    <xf numFmtId="0" fontId="25" fillId="0" borderId="0" xfId="42" applyNumberFormat="1" applyFont="1" applyBorder="1" applyAlignment="1" applyProtection="1">
      <alignment horizontal="center"/>
      <protection hidden="1"/>
    </xf>
    <xf numFmtId="0" fontId="27" fillId="0" borderId="0" xfId="42" applyNumberFormat="1" applyFont="1" applyAlignment="1" applyProtection="1">
      <alignment horizontal="center"/>
      <protection hidden="1"/>
    </xf>
    <xf numFmtId="0" fontId="24" fillId="0" borderId="0" xfId="58" applyFont="1" applyProtection="1">
      <alignment/>
      <protection hidden="1"/>
    </xf>
    <xf numFmtId="0" fontId="25" fillId="0" borderId="0" xfId="58" applyFont="1" applyProtection="1">
      <alignment/>
      <protection hidden="1"/>
    </xf>
    <xf numFmtId="0" fontId="24" fillId="0" borderId="11" xfId="58" applyFont="1" applyBorder="1" applyProtection="1">
      <alignment/>
      <protection hidden="1"/>
    </xf>
    <xf numFmtId="0" fontId="26" fillId="0" borderId="0" xfId="58" applyFont="1" applyProtection="1">
      <alignment/>
      <protection hidden="1"/>
    </xf>
    <xf numFmtId="0" fontId="27" fillId="0" borderId="0" xfId="58" applyFont="1" applyProtection="1">
      <alignment/>
      <protection hidden="1"/>
    </xf>
    <xf numFmtId="0" fontId="26" fillId="0" borderId="0" xfId="58" applyFont="1" applyProtection="1">
      <alignment/>
      <protection hidden="1"/>
    </xf>
    <xf numFmtId="0" fontId="24" fillId="0" borderId="0" xfId="58" applyFont="1" applyProtection="1">
      <alignment/>
      <protection hidden="1"/>
    </xf>
    <xf numFmtId="0" fontId="25" fillId="0" borderId="0" xfId="58" applyFont="1" applyProtection="1">
      <alignment/>
      <protection hidden="1"/>
    </xf>
    <xf numFmtId="0" fontId="24" fillId="0" borderId="0" xfId="42" applyNumberFormat="1" applyFont="1" applyFill="1" applyBorder="1" applyAlignment="1" applyProtection="1">
      <alignment horizontal="center"/>
      <protection hidden="1"/>
    </xf>
    <xf numFmtId="0" fontId="27" fillId="0" borderId="0" xfId="58" applyFont="1" applyProtection="1">
      <alignment/>
      <protection hidden="1"/>
    </xf>
    <xf numFmtId="0" fontId="9" fillId="0" borderId="0" xfId="0" applyFont="1" applyAlignment="1" applyProtection="1">
      <alignment/>
      <protection hidden="1"/>
    </xf>
    <xf numFmtId="0" fontId="6" fillId="33" borderId="10" xfId="0" applyFont="1" applyFill="1" applyBorder="1" applyAlignment="1" applyProtection="1">
      <alignment horizontal="center" wrapText="1"/>
      <protection hidden="1"/>
    </xf>
    <xf numFmtId="43" fontId="6" fillId="33" borderId="10" xfId="42" applyFont="1" applyFill="1" applyBorder="1" applyAlignment="1" applyProtection="1">
      <alignment horizontal="center" wrapText="1"/>
      <protection hidden="1"/>
    </xf>
    <xf numFmtId="165" fontId="6" fillId="33" borderId="10" xfId="62" applyNumberFormat="1" applyFont="1" applyFill="1" applyBorder="1" applyAlignment="1" applyProtection="1">
      <alignment horizontal="center" wrapText="1"/>
      <protection hidden="1"/>
    </xf>
    <xf numFmtId="0" fontId="6" fillId="33" borderId="10" xfId="57" applyFont="1" applyFill="1" applyBorder="1" applyAlignment="1" applyProtection="1">
      <alignment horizontal="center" wrapText="1"/>
      <protection hidden="1"/>
    </xf>
    <xf numFmtId="43" fontId="6" fillId="33" borderId="10" xfId="42" applyFont="1" applyFill="1" applyBorder="1" applyAlignment="1" applyProtection="1">
      <alignment horizontal="center" wrapText="1"/>
      <protection hidden="1"/>
    </xf>
    <xf numFmtId="10" fontId="6" fillId="33" borderId="10" xfId="62" applyNumberFormat="1" applyFont="1" applyFill="1" applyBorder="1" applyAlignment="1" applyProtection="1">
      <alignment horizontal="center" wrapText="1"/>
      <protection hidden="1"/>
    </xf>
    <xf numFmtId="0" fontId="11" fillId="0" borderId="0" xfId="0" applyFont="1" applyAlignment="1" applyProtection="1">
      <alignment/>
      <protection hidden="1"/>
    </xf>
    <xf numFmtId="0" fontId="6" fillId="33" borderId="10" xfId="0" applyFont="1" applyFill="1" applyBorder="1" applyAlignment="1" applyProtection="1">
      <alignment horizontal="center" vertical="center"/>
      <protection hidden="1"/>
    </xf>
    <xf numFmtId="0" fontId="6" fillId="0" borderId="0" xfId="0" applyFont="1" applyAlignment="1" applyProtection="1">
      <alignment vertical="center"/>
      <protection hidden="1"/>
    </xf>
    <xf numFmtId="43" fontId="11" fillId="0" borderId="0" xfId="42" applyFont="1" applyAlignment="1" applyProtection="1">
      <alignment/>
      <protection hidden="1"/>
    </xf>
    <xf numFmtId="43" fontId="11" fillId="35" borderId="14" xfId="42" applyFont="1" applyFill="1" applyBorder="1" applyAlignment="1" applyProtection="1">
      <alignment/>
      <protection hidden="1"/>
    </xf>
    <xf numFmtId="170" fontId="11" fillId="35" borderId="14" xfId="42" applyNumberFormat="1" applyFont="1" applyFill="1" applyBorder="1" applyAlignment="1" applyProtection="1">
      <alignment/>
      <protection hidden="1"/>
    </xf>
    <xf numFmtId="165" fontId="11" fillId="35" borderId="14" xfId="42" applyNumberFormat="1" applyFont="1" applyFill="1" applyBorder="1" applyAlignment="1" applyProtection="1">
      <alignment/>
      <protection hidden="1"/>
    </xf>
    <xf numFmtId="170" fontId="11" fillId="35" borderId="10" xfId="42" applyNumberFormat="1" applyFont="1" applyFill="1" applyBorder="1" applyAlignment="1" applyProtection="1">
      <alignment/>
      <protection hidden="1"/>
    </xf>
    <xf numFmtId="0" fontId="77" fillId="0" borderId="0" xfId="57" applyFont="1" applyProtection="1">
      <alignment/>
      <protection hidden="1"/>
    </xf>
    <xf numFmtId="0" fontId="77" fillId="0" borderId="0" xfId="57" applyFont="1" applyAlignment="1" applyProtection="1">
      <alignment horizontal="right"/>
      <protection hidden="1"/>
    </xf>
    <xf numFmtId="0" fontId="28" fillId="0" borderId="0" xfId="0" applyFont="1" applyAlignment="1" applyProtection="1">
      <alignment/>
      <protection hidden="1"/>
    </xf>
    <xf numFmtId="0" fontId="8" fillId="0" borderId="0" xfId="0" applyFont="1" applyAlignment="1" applyProtection="1">
      <alignment horizontal="left"/>
      <protection hidden="1"/>
    </xf>
    <xf numFmtId="0" fontId="8" fillId="0" borderId="0" xfId="0" applyFont="1" applyAlignment="1" applyProtection="1">
      <alignment/>
      <protection hidden="1"/>
    </xf>
    <xf numFmtId="10" fontId="11" fillId="35" borderId="14" xfId="0" applyNumberFormat="1" applyFont="1" applyFill="1" applyBorder="1" applyAlignment="1" applyProtection="1">
      <alignment/>
      <protection hidden="1"/>
    </xf>
    <xf numFmtId="10" fontId="8" fillId="0" borderId="0" xfId="62" applyNumberFormat="1" applyFont="1" applyAlignment="1" applyProtection="1">
      <alignment horizontal="left"/>
      <protection hidden="1"/>
    </xf>
    <xf numFmtId="10" fontId="77" fillId="0" borderId="0" xfId="57" applyNumberFormat="1" applyFont="1" applyProtection="1">
      <alignment/>
      <protection hidden="1"/>
    </xf>
    <xf numFmtId="10" fontId="6" fillId="33" borderId="10" xfId="62" applyNumberFormat="1" applyFont="1" applyFill="1" applyBorder="1" applyAlignment="1" applyProtection="1">
      <alignment horizontal="center" vertical="center"/>
      <protection hidden="1"/>
    </xf>
    <xf numFmtId="10" fontId="11" fillId="0" borderId="0" xfId="62" applyNumberFormat="1" applyFont="1" applyAlignment="1" applyProtection="1">
      <alignment horizontal="center"/>
      <protection hidden="1"/>
    </xf>
    <xf numFmtId="10" fontId="11" fillId="35" borderId="14" xfId="42" applyNumberFormat="1" applyFont="1" applyFill="1" applyBorder="1" applyAlignment="1" applyProtection="1">
      <alignment/>
      <protection hidden="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mortisation" xfId="57"/>
    <cellStyle name="Normal_Max Bond Amount" xfId="58"/>
    <cellStyle name="Normal_Web Site Outlay"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1.jpeg" /></Relationships>
</file>

<file path=xl/charts/_rels/chart2.xml.rels><?xml version="1.0" encoding="utf-8" standalone="yes"?><Relationships xmlns="http://schemas.openxmlformats.org/package/2006/relationships"><Relationship Id="rId1" Type="http://schemas.openxmlformats.org/officeDocument/2006/relationships/image" Target="../media/image2.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FFFFFF"/>
                </a:solidFill>
                <a:latin typeface="Arial"/>
                <a:ea typeface="Arial"/>
                <a:cs typeface="Arial"/>
              </a:rPr>
              <a:t>Increased Instalment - Interest Saving</a:t>
            </a:r>
          </a:p>
        </c:rich>
      </c:tx>
      <c:layout>
        <c:manualLayout>
          <c:xMode val="factor"/>
          <c:yMode val="factor"/>
          <c:x val="-0.0015"/>
          <c:y val="0"/>
        </c:manualLayout>
      </c:layout>
      <c:spPr>
        <a:noFill/>
        <a:ln>
          <a:noFill/>
        </a:ln>
      </c:spPr>
    </c:title>
    <c:plotArea>
      <c:layout>
        <c:manualLayout>
          <c:xMode val="edge"/>
          <c:yMode val="edge"/>
          <c:x val="0"/>
          <c:y val="0.10675"/>
          <c:w val="0.9845"/>
          <c:h val="0.89325"/>
        </c:manualLayout>
      </c:layout>
      <c:areaChart>
        <c:grouping val="standard"/>
        <c:varyColors val="0"/>
        <c:ser>
          <c:idx val="1"/>
          <c:order val="0"/>
          <c:tx>
            <c:strRef>
              <c:f>AnnualAmort!$I$3</c:f>
              <c:strCache>
                <c:ptCount val="1"/>
                <c:pt idx="0">
                  <c:v>Amortization</c:v>
                </c:pt>
              </c:strCache>
            </c:strRef>
          </c:tx>
          <c:spPr>
            <a:gradFill rotWithShape="1">
              <a:gsLst>
                <a:gs pos="0">
                  <a:srgbClr val="000080"/>
                </a:gs>
                <a:gs pos="100000">
                  <a:srgbClr val="040482"/>
                </a:gs>
              </a:gsLst>
              <a:path path="rect">
                <a:fillToRect r="100000" b="100000"/>
              </a:path>
            </a:gradFill>
            <a:ln w="12700">
              <a:solidFill>
                <a:srgbClr val="FFFFFF"/>
              </a:solidFill>
            </a:ln>
          </c:spPr>
          <c:extLst>
            <c:ext xmlns:c14="http://schemas.microsoft.com/office/drawing/2007/8/2/chart" uri="{6F2FDCE9-48DA-4B69-8628-5D25D57E5C99}">
              <c14:invertSolidFillFmt>
                <c14:spPr>
                  <a:solidFill>
                    <a:srgbClr val="000000"/>
                  </a:solidFill>
                </c14:spPr>
              </c14:invertSolidFillFmt>
            </c:ext>
          </c:extLst>
          <c:val>
            <c:numRef>
              <c:f>AnnualAmort!$I$4:$I$33</c:f>
              <c:numCache>
                <c:ptCount val="30"/>
                <c:pt idx="0">
                  <c:v>179355.82943358485</c:v>
                </c:pt>
                <c:pt idx="1">
                  <c:v>354382.295028461</c:v>
                </c:pt>
                <c:pt idx="2">
                  <c:v>524754.8750423614</c:v>
                </c:pt>
                <c:pt idx="3">
                  <c:v>690124.7221357427</c:v>
                </c:pt>
                <c:pt idx="4">
                  <c:v>850116.8399664287</c:v>
                </c:pt>
                <c:pt idx="5">
                  <c:v>1004328.1231048952</c:v>
                </c:pt>
                <c:pt idx="6">
                  <c:v>1152325.2500249394</c:v>
                </c:pt>
                <c:pt idx="7">
                  <c:v>1293642.4181565181</c:v>
                </c:pt>
                <c:pt idx="8">
                  <c:v>1427778.9091620033</c:v>
                </c:pt>
                <c:pt idx="9">
                  <c:v>1554196.4717096905</c:v>
                </c:pt>
                <c:pt idx="10">
                  <c:v>1672316.5080644665</c:v>
                </c:pt>
                <c:pt idx="11">
                  <c:v>1781517.0497901016</c:v>
                </c:pt>
                <c:pt idx="12">
                  <c:v>1881129.5067553367</c:v>
                </c:pt>
                <c:pt idx="13">
                  <c:v>1970435.172451001</c:v>
                </c:pt>
                <c:pt idx="14">
                  <c:v>2048661.4673516501</c:v>
                </c:pt>
                <c:pt idx="15">
                  <c:v>2114977.9006859907</c:v>
                </c:pt>
                <c:pt idx="16">
                  <c:v>2168491.729508488</c:v>
                </c:pt>
                <c:pt idx="17">
                  <c:v>2208243.292382376</c:v>
                </c:pt>
                <c:pt idx="18">
                  <c:v>2233200.993283487</c:v>
                </c:pt>
                <c:pt idx="19">
                  <c:v>2242255.909506056</c:v>
                </c:pt>
                <c:pt idx="20">
                  <c:v>2242255.909506056</c:v>
                </c:pt>
                <c:pt idx="21">
                  <c:v>2242255.909506056</c:v>
                </c:pt>
                <c:pt idx="22">
                  <c:v>2242255.909506056</c:v>
                </c:pt>
                <c:pt idx="23">
                  <c:v>2242255.909506056</c:v>
                </c:pt>
                <c:pt idx="24">
                  <c:v>2242255.909506056</c:v>
                </c:pt>
                <c:pt idx="25">
                  <c:v>2242255.909506056</c:v>
                </c:pt>
                <c:pt idx="26">
                  <c:v>2242255.909506056</c:v>
                </c:pt>
                <c:pt idx="27">
                  <c:v>2242255.909506056</c:v>
                </c:pt>
                <c:pt idx="28">
                  <c:v>2242255.909506056</c:v>
                </c:pt>
                <c:pt idx="29">
                  <c:v>2242255.909506056</c:v>
                </c:pt>
              </c:numCache>
            </c:numRef>
          </c:val>
        </c:ser>
        <c:ser>
          <c:idx val="2"/>
          <c:order val="1"/>
          <c:tx>
            <c:strRef>
              <c:f>AnnualAmort!$J$3</c:f>
              <c:strCache>
                <c:ptCount val="1"/>
                <c:pt idx="0">
                  <c:v>Increased Instalment</c:v>
                </c:pt>
              </c:strCache>
            </c:strRef>
          </c:tx>
          <c:spPr>
            <a:solidFill>
              <a:srgbClr val="FFCC00"/>
            </a:solidFill>
            <a:ln w="12700">
              <a:solidFill>
                <a:srgbClr val="FFFFFF"/>
              </a:solidFill>
            </a:ln>
          </c:spPr>
          <c:extLst>
            <c:ext xmlns:c14="http://schemas.microsoft.com/office/drawing/2007/8/2/chart" uri="{6F2FDCE9-48DA-4B69-8628-5D25D57E5C99}">
              <c14:invertSolidFillFmt>
                <c14:spPr>
                  <a:solidFill>
                    <a:srgbClr val="FFFFFF"/>
                  </a:solidFill>
                </c14:spPr>
              </c14:invertSolidFillFmt>
            </c:ext>
          </c:extLst>
          <c:val>
            <c:numRef>
              <c:f>AnnualAmort!$J$4:$J$33</c:f>
              <c:numCache>
                <c:ptCount val="30"/>
                <c:pt idx="0">
                  <c:v>178542.04821824882</c:v>
                </c:pt>
                <c:pt idx="1">
                  <c:v>350894.73380530206</c:v>
                </c:pt>
                <c:pt idx="2">
                  <c:v>516594.1126762022</c:v>
                </c:pt>
                <c:pt idx="3">
                  <c:v>675141.4642872844</c:v>
                </c:pt>
                <c:pt idx="4">
                  <c:v>826000.6848520419</c:v>
                </c:pt>
                <c:pt idx="5">
                  <c:v>968595.4851568899</c:v>
                </c:pt>
                <c:pt idx="6">
                  <c:v>1102306.3783299713</c:v>
                </c:pt>
                <c:pt idx="7">
                  <c:v>1226467.44181824</c:v>
                </c:pt>
                <c:pt idx="8">
                  <c:v>1340362.8366478588</c:v>
                </c:pt>
                <c:pt idx="9">
                  <c:v>1443223.065774284</c:v>
                </c:pt>
                <c:pt idx="10">
                  <c:v>1534220.9519646412</c:v>
                </c:pt>
                <c:pt idx="11">
                  <c:v>1612467.3141890157</c:v>
                </c:pt>
                <c:pt idx="12">
                  <c:v>1677006.3199213897</c:v>
                </c:pt>
                <c:pt idx="13">
                  <c:v>1726810.4890569753</c:v>
                </c:pt>
                <c:pt idx="14">
                  <c:v>1760775.3233316962</c:v>
                </c:pt>
                <c:pt idx="15">
                  <c:v>1777713.533172096</c:v>
                </c:pt>
                <c:pt idx="16">
                  <c:v>1779445.7041441083</c:v>
                </c:pt>
                <c:pt idx="17">
                  <c:v>1779445.7041441083</c:v>
                </c:pt>
                <c:pt idx="18">
                  <c:v>1779445.7041441083</c:v>
                </c:pt>
                <c:pt idx="19">
                  <c:v>1779445.7041441083</c:v>
                </c:pt>
                <c:pt idx="20">
                  <c:v>1779445.7041441083</c:v>
                </c:pt>
                <c:pt idx="21">
                  <c:v>1779445.7041441083</c:v>
                </c:pt>
                <c:pt idx="22">
                  <c:v>1779445.7041441083</c:v>
                </c:pt>
                <c:pt idx="23">
                  <c:v>1779445.7041441083</c:v>
                </c:pt>
                <c:pt idx="24">
                  <c:v>1779445.7041441083</c:v>
                </c:pt>
                <c:pt idx="25">
                  <c:v>1779445.7041441083</c:v>
                </c:pt>
                <c:pt idx="26">
                  <c:v>1779445.7041441083</c:v>
                </c:pt>
                <c:pt idx="27">
                  <c:v>1779445.7041441083</c:v>
                </c:pt>
                <c:pt idx="28">
                  <c:v>1779445.7041441083</c:v>
                </c:pt>
                <c:pt idx="29">
                  <c:v>1779445.7041441083</c:v>
                </c:pt>
              </c:numCache>
            </c:numRef>
          </c:val>
        </c:ser>
        <c:axId val="11114350"/>
        <c:axId val="32920287"/>
      </c:areaChart>
      <c:catAx>
        <c:axId val="11114350"/>
        <c:scaling>
          <c:orientation val="minMax"/>
        </c:scaling>
        <c:axPos val="b"/>
        <c:title>
          <c:tx>
            <c:rich>
              <a:bodyPr vert="horz" rot="0" anchor="ctr"/>
              <a:lstStyle/>
              <a:p>
                <a:pPr algn="ctr">
                  <a:defRPr/>
                </a:pPr>
                <a:r>
                  <a:rPr lang="en-US" cap="none" sz="900" b="1" i="0" u="none" baseline="0">
                    <a:solidFill>
                      <a:srgbClr val="FFFFFF"/>
                    </a:solidFill>
                    <a:latin typeface="Arial"/>
                    <a:ea typeface="Arial"/>
                    <a:cs typeface="Arial"/>
                  </a:rPr>
                  <a:t>Years</a:t>
                </a:r>
              </a:p>
            </c:rich>
          </c:tx>
          <c:layout>
            <c:manualLayout>
              <c:xMode val="factor"/>
              <c:yMode val="factor"/>
              <c:x val="0.00975"/>
              <c:y val="-0.14"/>
            </c:manualLayout>
          </c:layout>
          <c:overlay val="0"/>
          <c:spPr>
            <a:noFill/>
            <a:ln>
              <a:noFill/>
            </a:ln>
          </c:spPr>
        </c:title>
        <c:delete val="0"/>
        <c:numFmt formatCode="General" sourceLinked="1"/>
        <c:majorTickMark val="out"/>
        <c:minorTickMark val="none"/>
        <c:tickLblPos val="nextTo"/>
        <c:spPr>
          <a:ln w="3175">
            <a:solidFill>
              <a:srgbClr val="FFFFFF"/>
            </a:solidFill>
          </a:ln>
        </c:spPr>
        <c:txPr>
          <a:bodyPr vert="horz" rot="0"/>
          <a:lstStyle/>
          <a:p>
            <a:pPr>
              <a:defRPr lang="en-US" cap="none" sz="900" b="1" i="0" u="none" baseline="0">
                <a:solidFill>
                  <a:srgbClr val="FFFFFF"/>
                </a:solidFill>
                <a:latin typeface="Arial"/>
                <a:ea typeface="Arial"/>
                <a:cs typeface="Arial"/>
              </a:defRPr>
            </a:pPr>
          </a:p>
        </c:txPr>
        <c:crossAx val="32920287"/>
        <c:crosses val="autoZero"/>
        <c:auto val="1"/>
        <c:lblOffset val="100"/>
        <c:tickLblSkip val="3"/>
        <c:noMultiLvlLbl val="0"/>
      </c:catAx>
      <c:valAx>
        <c:axId val="32920287"/>
        <c:scaling>
          <c:orientation val="minMax"/>
        </c:scaling>
        <c:axPos val="l"/>
        <c:majorGridlines>
          <c:spPr>
            <a:ln w="3175">
              <a:solidFill>
                <a:srgbClr val="C0C0C0"/>
              </a:solidFill>
            </a:ln>
          </c:spPr>
        </c:majorGridlines>
        <c:delete val="0"/>
        <c:numFmt formatCode="#,##0" sourceLinked="0"/>
        <c:majorTickMark val="out"/>
        <c:minorTickMark val="none"/>
        <c:tickLblPos val="nextTo"/>
        <c:spPr>
          <a:ln w="3175">
            <a:solidFill>
              <a:srgbClr val="FFFFFF"/>
            </a:solidFill>
          </a:ln>
        </c:spPr>
        <c:txPr>
          <a:bodyPr vert="horz" rot="0"/>
          <a:lstStyle/>
          <a:p>
            <a:pPr>
              <a:defRPr lang="en-US" cap="none" sz="900" b="0" i="0" u="none" baseline="0">
                <a:solidFill>
                  <a:srgbClr val="FFFFFF"/>
                </a:solidFill>
                <a:latin typeface="Arial"/>
                <a:ea typeface="Arial"/>
                <a:cs typeface="Arial"/>
              </a:defRPr>
            </a:pPr>
          </a:p>
        </c:txPr>
        <c:crossAx val="11114350"/>
        <c:crossesAt val="1"/>
        <c:crossBetween val="midCat"/>
        <c:dispUnits/>
      </c:valAx>
      <c:spPr>
        <a:solidFill>
          <a:srgbClr val="FFFFFF"/>
        </a:solidFill>
        <a:ln w="12700">
          <a:solidFill>
            <a:srgbClr val="FFFFFF"/>
          </a:solidFill>
        </a:ln>
      </c:spPr>
    </c:plotArea>
    <c:legend>
      <c:legendPos val="r"/>
      <c:layout>
        <c:manualLayout>
          <c:xMode val="edge"/>
          <c:yMode val="edge"/>
          <c:x val="0.75575"/>
          <c:y val="0"/>
          <c:w val="0.238"/>
          <c:h val="0.168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525" b="0" i="0" u="none" baseline="0">
              <a:solidFill>
                <a:srgbClr val="000000"/>
              </a:solidFill>
              <a:latin typeface="Arial"/>
              <a:ea typeface="Arial"/>
              <a:cs typeface="Arial"/>
            </a:defRPr>
          </a:pPr>
        </a:p>
      </c:txPr>
    </c:legend>
    <c:plotVisOnly val="1"/>
    <c:dispBlanksAs val="zero"/>
    <c:showDLblsOverMax val="0"/>
  </c:chart>
  <c:spPr>
    <a:blipFill>
      <a:blip r:embed="rId1"/>
      <a:srcRect/>
      <a:tile sx="100000" sy="100000" flip="none" algn="tl"/>
    </a:blip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02525"/>
        </c:manualLayout>
      </c:layout>
      <c:spPr>
        <a:noFill/>
        <a:ln>
          <a:noFill/>
        </a:ln>
      </c:spPr>
      <c:txPr>
        <a:bodyPr vert="horz" rot="0"/>
        <a:lstStyle/>
        <a:p>
          <a:pPr>
            <a:defRPr lang="en-US" cap="none" sz="1100" b="1" i="0" u="none" baseline="0">
              <a:solidFill>
                <a:srgbClr val="FFFFFF"/>
              </a:solidFill>
              <a:latin typeface="Arial"/>
              <a:ea typeface="Arial"/>
              <a:cs typeface="Arial"/>
            </a:defRPr>
          </a:pPr>
        </a:p>
      </c:txPr>
    </c:title>
    <c:plotArea>
      <c:layout>
        <c:manualLayout>
          <c:xMode val="edge"/>
          <c:yMode val="edge"/>
          <c:x val="0"/>
          <c:y val="0.0665"/>
          <c:w val="0.9895"/>
          <c:h val="0.9335"/>
        </c:manualLayout>
      </c:layout>
      <c:areaChart>
        <c:grouping val="standard"/>
        <c:varyColors val="0"/>
        <c:ser>
          <c:idx val="1"/>
          <c:order val="0"/>
          <c:tx>
            <c:strRef>
              <c:f>AnnualAmort!$K$3</c:f>
              <c:strCache>
                <c:ptCount val="1"/>
                <c:pt idx="0">
                  <c:v>Capital Repayment</c:v>
                </c:pt>
              </c:strCache>
            </c:strRef>
          </c:tx>
          <c:spPr>
            <a:gradFill rotWithShape="1">
              <a:gsLst>
                <a:gs pos="0">
                  <a:srgbClr val="000080"/>
                </a:gs>
                <a:gs pos="100000">
                  <a:srgbClr val="00007A"/>
                </a:gs>
              </a:gsLst>
              <a:path path="rect">
                <a:fillToRect t="100000" r="100000"/>
              </a:path>
            </a:gradFill>
            <a:ln w="12700">
              <a:solidFill>
                <a:srgbClr val="FFFFFF"/>
              </a:solidFill>
            </a:ln>
          </c:spPr>
          <c:extLst>
            <c:ext xmlns:c14="http://schemas.microsoft.com/office/drawing/2007/8/2/chart" uri="{6F2FDCE9-48DA-4B69-8628-5D25D57E5C99}">
              <c14:invertSolidFillFmt>
                <c14:spPr>
                  <a:solidFill>
                    <a:srgbClr val="000000"/>
                  </a:solidFill>
                </c14:spPr>
              </c14:invertSolidFillFmt>
            </c:ext>
          </c:extLst>
          <c:val>
            <c:numRef>
              <c:f>AnnualAmort!$K$4:$K$33</c:f>
              <c:numCache>
                <c:ptCount val="30"/>
                <c:pt idx="0">
                  <c:v>57756.96604171806</c:v>
                </c:pt>
                <c:pt idx="1">
                  <c:v>119843.29592214475</c:v>
                </c:pt>
                <c:pt idx="2">
                  <c:v>186583.51138354721</c:v>
                </c:pt>
                <c:pt idx="3">
                  <c:v>258326.45976546902</c:v>
                </c:pt>
                <c:pt idx="4">
                  <c:v>335447.1374100858</c:v>
                </c:pt>
                <c:pt idx="5">
                  <c:v>418348.64974692214</c:v>
                </c:pt>
                <c:pt idx="6">
                  <c:v>507464.3183021809</c:v>
                </c:pt>
                <c:pt idx="7">
                  <c:v>603259.9456459052</c:v>
                </c:pt>
                <c:pt idx="8">
                  <c:v>706236.2501157231</c:v>
                </c:pt>
                <c:pt idx="9">
                  <c:v>816931.4830433388</c:v>
                </c:pt>
                <c:pt idx="10">
                  <c:v>935924.2421638658</c:v>
                </c:pt>
                <c:pt idx="11">
                  <c:v>1063836.4959135337</c:v>
                </c:pt>
                <c:pt idx="12">
                  <c:v>1201336.8344236016</c:v>
                </c:pt>
                <c:pt idx="13">
                  <c:v>1349143.9642032403</c:v>
                </c:pt>
                <c:pt idx="14">
                  <c:v>1508030.464777894</c:v>
                </c:pt>
                <c:pt idx="15">
                  <c:v>1678826.8269188567</c:v>
                </c:pt>
                <c:pt idx="16">
                  <c:v>1862425.7935716624</c:v>
                </c:pt>
                <c:pt idx="17">
                  <c:v>2059787.0261730775</c:v>
                </c:pt>
                <c:pt idx="18">
                  <c:v>2271942.120747269</c:v>
                </c:pt>
                <c:pt idx="19">
                  <c:v>2499999.9999999995</c:v>
                </c:pt>
                <c:pt idx="20">
                  <c:v>2499999.9999999995</c:v>
                </c:pt>
                <c:pt idx="21">
                  <c:v>2499999.9999999995</c:v>
                </c:pt>
                <c:pt idx="22">
                  <c:v>2499999.9999999995</c:v>
                </c:pt>
                <c:pt idx="23">
                  <c:v>2499999.9999999995</c:v>
                </c:pt>
                <c:pt idx="24">
                  <c:v>2499999.9999999995</c:v>
                </c:pt>
                <c:pt idx="25">
                  <c:v>2499999.9999999995</c:v>
                </c:pt>
                <c:pt idx="26">
                  <c:v>2499999.9999999995</c:v>
                </c:pt>
                <c:pt idx="27">
                  <c:v>2499999.9999999995</c:v>
                </c:pt>
                <c:pt idx="28">
                  <c:v>2499999.9999999995</c:v>
                </c:pt>
                <c:pt idx="29">
                  <c:v>2499999.9999999995</c:v>
                </c:pt>
              </c:numCache>
            </c:numRef>
          </c:val>
        </c:ser>
        <c:axId val="27847128"/>
        <c:axId val="49297561"/>
      </c:areaChart>
      <c:catAx>
        <c:axId val="27847128"/>
        <c:scaling>
          <c:orientation val="minMax"/>
        </c:scaling>
        <c:axPos val="b"/>
        <c:title>
          <c:tx>
            <c:rich>
              <a:bodyPr vert="horz" rot="0" anchor="ctr"/>
              <a:lstStyle/>
              <a:p>
                <a:pPr algn="ctr">
                  <a:defRPr/>
                </a:pPr>
                <a:r>
                  <a:rPr lang="en-US" cap="none" sz="800" b="1" i="0" u="none" baseline="0">
                    <a:solidFill>
                      <a:srgbClr val="FFFFFF"/>
                    </a:solidFill>
                    <a:latin typeface="Arial"/>
                    <a:ea typeface="Arial"/>
                    <a:cs typeface="Arial"/>
                  </a:rPr>
                  <a:t>Years</a:t>
                </a:r>
              </a:p>
            </c:rich>
          </c:tx>
          <c:layout>
            <c:manualLayout>
              <c:xMode val="factor"/>
              <c:yMode val="factor"/>
              <c:x val="0.00875"/>
              <c:y val="-0.138"/>
            </c:manualLayout>
          </c:layout>
          <c:overlay val="0"/>
          <c:spPr>
            <a:noFill/>
            <a:ln>
              <a:noFill/>
            </a:ln>
          </c:spPr>
        </c:title>
        <c:delete val="0"/>
        <c:numFmt formatCode="General" sourceLinked="1"/>
        <c:majorTickMark val="out"/>
        <c:minorTickMark val="none"/>
        <c:tickLblPos val="nextTo"/>
        <c:spPr>
          <a:ln w="12700">
            <a:solidFill>
              <a:srgbClr val="FFFFFF"/>
            </a:solidFill>
          </a:ln>
        </c:spPr>
        <c:txPr>
          <a:bodyPr vert="horz" rot="0"/>
          <a:lstStyle/>
          <a:p>
            <a:pPr>
              <a:defRPr lang="en-US" cap="none" sz="900" b="1" i="0" u="none" baseline="0">
                <a:solidFill>
                  <a:srgbClr val="FFFFFF"/>
                </a:solidFill>
                <a:latin typeface="Arial"/>
                <a:ea typeface="Arial"/>
                <a:cs typeface="Arial"/>
              </a:defRPr>
            </a:pPr>
          </a:p>
        </c:txPr>
        <c:crossAx val="49297561"/>
        <c:crosses val="autoZero"/>
        <c:auto val="1"/>
        <c:lblOffset val="100"/>
        <c:tickLblSkip val="3"/>
        <c:noMultiLvlLbl val="0"/>
      </c:catAx>
      <c:valAx>
        <c:axId val="49297561"/>
        <c:scaling>
          <c:orientation val="minMax"/>
        </c:scaling>
        <c:axPos val="l"/>
        <c:majorGridlines>
          <c:spPr>
            <a:ln w="3175">
              <a:solidFill>
                <a:srgbClr val="C0C0C0"/>
              </a:solidFill>
            </a:ln>
          </c:spPr>
        </c:majorGridlines>
        <c:delete val="0"/>
        <c:numFmt formatCode="#,##0_ ;\-#,##0\ " sourceLinked="0"/>
        <c:majorTickMark val="out"/>
        <c:minorTickMark val="none"/>
        <c:tickLblPos val="nextTo"/>
        <c:spPr>
          <a:ln w="12700">
            <a:solidFill>
              <a:srgbClr val="FFFFFF"/>
            </a:solidFill>
          </a:ln>
        </c:spPr>
        <c:txPr>
          <a:bodyPr vert="horz" rot="0"/>
          <a:lstStyle/>
          <a:p>
            <a:pPr>
              <a:defRPr lang="en-US" cap="none" sz="900" b="0" i="0" u="none" baseline="0">
                <a:solidFill>
                  <a:srgbClr val="FFFFFF"/>
                </a:solidFill>
                <a:latin typeface="Arial"/>
                <a:ea typeface="Arial"/>
                <a:cs typeface="Arial"/>
              </a:defRPr>
            </a:pPr>
          </a:p>
        </c:txPr>
        <c:crossAx val="27847128"/>
        <c:crossesAt val="1"/>
        <c:crossBetween val="midCat"/>
        <c:dispUnits/>
      </c:valAx>
      <c:spPr>
        <a:solidFill>
          <a:srgbClr val="FFFFFF"/>
        </a:solidFill>
        <a:ln w="12700">
          <a:solidFill>
            <a:srgbClr val="FFFFFF"/>
          </a:solidFill>
        </a:ln>
      </c:spPr>
    </c:plotArea>
    <c:legend>
      <c:legendPos val="r"/>
      <c:layout>
        <c:manualLayout>
          <c:xMode val="edge"/>
          <c:yMode val="edge"/>
          <c:x val="0.72475"/>
          <c:y val="0.0575"/>
          <c:w val="0.2285"/>
          <c:h val="0.068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525" b="0" i="0" u="none" baseline="0">
              <a:solidFill>
                <a:srgbClr val="000000"/>
              </a:solidFill>
              <a:latin typeface="Arial"/>
              <a:ea typeface="Arial"/>
              <a:cs typeface="Arial"/>
            </a:defRPr>
          </a:pPr>
        </a:p>
      </c:txPr>
    </c:legend>
    <c:plotVisOnly val="1"/>
    <c:dispBlanksAs val="zero"/>
    <c:showDLblsOverMax val="0"/>
  </c:chart>
  <c:spPr>
    <a:blipFill>
      <a:blip r:embed="rId1"/>
      <a:srcRect/>
      <a:tile sx="100000" sy="100000" flip="none" algn="tl"/>
    </a:blip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s://www.propertyreality.co.za/templates.php" TargetMode="External" /><Relationship Id="rId2" Type="http://schemas.openxmlformats.org/officeDocument/2006/relationships/hyperlink" Target="https://www.propertyreality.co.za/bond_calculator.php"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0</xdr:row>
      <xdr:rowOff>47625</xdr:rowOff>
    </xdr:from>
    <xdr:to>
      <xdr:col>7</xdr:col>
      <xdr:colOff>923925</xdr:colOff>
      <xdr:row>21</xdr:row>
      <xdr:rowOff>152400</xdr:rowOff>
    </xdr:to>
    <xdr:sp>
      <xdr:nvSpPr>
        <xdr:cNvPr id="1" name="Rectangle 7"/>
        <xdr:cNvSpPr>
          <a:spLocks/>
        </xdr:cNvSpPr>
      </xdr:nvSpPr>
      <xdr:spPr>
        <a:xfrm>
          <a:off x="47625" y="47625"/>
          <a:ext cx="8210550" cy="3505200"/>
        </a:xfrm>
        <a:prstGeom prst="rect">
          <a:avLst/>
        </a:prstGeom>
        <a:gradFill rotWithShape="1">
          <a:gsLst>
            <a:gs pos="0">
              <a:srgbClr val="000050"/>
            </a:gs>
            <a:gs pos="100000">
              <a:srgbClr val="00002B"/>
            </a:gs>
          </a:gsLst>
          <a:path path="rect">
            <a:fillToRect l="50000" t="50000" r="50000" b="50000"/>
          </a:path>
        </a:gradFill>
        <a:ln w="9525" cmpd="sng">
          <a:noFill/>
        </a:ln>
      </xdr:spPr>
      <xdr:txBody>
        <a:bodyPr vertOverflow="clip" wrap="square" lIns="144000" tIns="0" rIns="144000" bIns="0" anchor="ctr"/>
        <a:p>
          <a:pPr algn="just">
            <a:defRPr/>
          </a:pPr>
          <a:r>
            <a:rPr lang="en-US" cap="none" sz="1200" b="1" i="0" u="none" baseline="0">
              <a:solidFill>
                <a:srgbClr val="FFFF99"/>
              </a:solidFill>
              <a:latin typeface="Arial"/>
              <a:ea typeface="Arial"/>
              <a:cs typeface="Arial"/>
            </a:rPr>
            <a:t>Property Reality | Bond Calculator Template
</a:t>
          </a:r>
          <a:r>
            <a:rPr lang="en-US" cap="none" sz="1050" b="1" i="0" u="none" baseline="0">
              <a:solidFill>
                <a:srgbClr val="FFFFFF"/>
              </a:solidFill>
              <a:latin typeface="Arial"/>
              <a:ea typeface="Arial"/>
              <a:cs typeface="Arial"/>
            </a:rPr>
            <a:t>About this template</a:t>
          </a:r>
          <a:r>
            <a:rPr lang="en-US" cap="none" sz="1100" b="1"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Bond calculators are sometimes also referred to as home loan calculators or mortgage calculators. The aim of this free Excel template is to enable users to calculate monthly bond repayments, determine the affordability of a home loan, calculate the interest savings that result from increased bond instalments and measure the sensitivity of bond repayments to changes in interest rates. After using this template, you will also gain a better understanding of home loan amortization and specifically the timing of capital repayments on a bond.
</a:t>
          </a:r>
          <a:r>
            <a:rPr lang="en-US" cap="none" sz="1050" b="1" i="0" u="none" baseline="0">
              <a:solidFill>
                <a:srgbClr val="FFFFFF"/>
              </a:solidFill>
              <a:latin typeface="Arial"/>
              <a:ea typeface="Arial"/>
              <a:cs typeface="Arial"/>
            </a:rPr>
            <a:t>About our other templates</a:t>
          </a:r>
          <a:r>
            <a:rPr lang="en-US" cap="none" sz="1050" b="0" i="0" u="none" baseline="0">
              <a:solidFill>
                <a:srgbClr val="FFFFFF"/>
              </a:solidFill>
              <a:latin typeface="Arial"/>
              <a:ea typeface="Arial"/>
              <a:cs typeface="Arial"/>
            </a:rPr>
            <a:t>
</a:t>
          </a:r>
          <a:r>
            <a:rPr lang="en-US" cap="none" sz="1000" b="0" i="0" u="none" baseline="0">
              <a:solidFill>
                <a:srgbClr val="FFFF99"/>
              </a:solidFill>
              <a:latin typeface="Arial"/>
              <a:ea typeface="Arial"/>
              <a:cs typeface="Arial"/>
            </a:rPr>
            <a:t>This free template forms part of our unique range of comprehensive residential property calculation spreadsheets. All our other templates can be purchased individually by adding the appropriate template to your shopping cart or you can dowload all our templates by making use of our special offer promotion. Samples of all of our unique templates are available on the Templates page of on our website. </a:t>
          </a:r>
          <a:r>
            <a:rPr lang="en-US" cap="none" sz="1000" b="0" i="0" u="none" baseline="0">
              <a:solidFill>
                <a:srgbClr val="FFFF99"/>
              </a:solidFill>
              <a:latin typeface="Arial"/>
              <a:ea typeface="Arial"/>
              <a:cs typeface="Arial"/>
            </a:rPr>
            <a:t>
</a:t>
          </a:r>
          <a:r>
            <a:rPr lang="en-US" cap="none" sz="1050" b="1" i="0" u="none" baseline="0">
              <a:solidFill>
                <a:srgbClr val="FFFFFF"/>
              </a:solidFill>
              <a:latin typeface="Arial"/>
              <a:ea typeface="Arial"/>
              <a:cs typeface="Arial"/>
            </a:rPr>
            <a:t>Other property templates:
</a:t>
          </a:r>
          <a:r>
            <a:rPr lang="en-US" cap="none" sz="1000" b="0" i="0" u="none" baseline="0">
              <a:solidFill>
                <a:srgbClr val="FFFFFF"/>
              </a:solidFill>
              <a:latin typeface="Arial"/>
              <a:ea typeface="Arial"/>
              <a:cs typeface="Arial"/>
            </a:rPr>
            <a:t>■</a:t>
          </a:r>
          <a:r>
            <a:rPr lang="en-US" cap="none" sz="1000" b="0" i="0" u="none" baseline="0">
              <a:solidFill>
                <a:srgbClr val="FFFFFF"/>
              </a:solidFill>
              <a:latin typeface="Arial"/>
              <a:ea typeface="Arial"/>
              <a:cs typeface="Arial"/>
            </a:rPr>
            <a:t> Buy to Let Property Investment Return
</a:t>
          </a:r>
          <a:r>
            <a:rPr lang="en-US" cap="none" sz="1000" b="0" i="0" u="none" baseline="0">
              <a:solidFill>
                <a:srgbClr val="FFFFFF"/>
              </a:solidFill>
              <a:latin typeface="Arial"/>
              <a:ea typeface="Arial"/>
              <a:cs typeface="Arial"/>
            </a:rPr>
            <a:t>■</a:t>
          </a:r>
          <a:r>
            <a:rPr lang="en-US" cap="none" sz="1000" b="0" i="0" u="none" baseline="0">
              <a:solidFill>
                <a:srgbClr val="FFFFFF"/>
              </a:solidFill>
              <a:latin typeface="Arial"/>
              <a:ea typeface="Arial"/>
              <a:cs typeface="Arial"/>
            </a:rPr>
            <a:t> Primary Residence Investment Return</a:t>
          </a:r>
          <a:r>
            <a:rPr lang="en-US" cap="none" sz="1000" b="0"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a:t>
          </a:r>
          <a:r>
            <a:rPr lang="en-US" cap="none" sz="1000" b="0" i="0" u="none" baseline="0">
              <a:solidFill>
                <a:srgbClr val="FFFFFF"/>
              </a:solidFill>
              <a:latin typeface="Arial"/>
              <a:ea typeface="Arial"/>
              <a:cs typeface="Arial"/>
            </a:rPr>
            <a:t> Property Investment Return Forecast
</a:t>
          </a:r>
          <a:r>
            <a:rPr lang="en-US" cap="none" sz="1000" b="0" i="0" u="none" baseline="0">
              <a:solidFill>
                <a:srgbClr val="FFFFFF"/>
              </a:solidFill>
              <a:latin typeface="Arial"/>
              <a:ea typeface="Arial"/>
              <a:cs typeface="Arial"/>
            </a:rPr>
            <a:t>■</a:t>
          </a:r>
          <a:r>
            <a:rPr lang="en-US" cap="none" sz="1000" b="0" i="0" u="none" baseline="0">
              <a:solidFill>
                <a:srgbClr val="FFFFFF"/>
              </a:solidFill>
              <a:latin typeface="Arial"/>
              <a:ea typeface="Arial"/>
              <a:cs typeface="Arial"/>
            </a:rPr>
            <a:t> Bond Statements
</a:t>
          </a:r>
          <a:r>
            <a:rPr lang="en-US" cap="none" sz="1000" b="0" i="0" u="none" baseline="0">
              <a:solidFill>
                <a:srgbClr val="FFFFFF"/>
              </a:solidFill>
              <a:latin typeface="Arial"/>
              <a:ea typeface="Arial"/>
              <a:cs typeface="Arial"/>
            </a:rPr>
            <a:t>■</a:t>
          </a:r>
          <a:r>
            <a:rPr lang="en-US" cap="none" sz="1000" b="0" i="0" u="none" baseline="0">
              <a:solidFill>
                <a:srgbClr val="FFFFFF"/>
              </a:solidFill>
              <a:latin typeface="Arial"/>
              <a:ea typeface="Arial"/>
              <a:cs typeface="Arial"/>
            </a:rPr>
            <a:t> Bond Amortization</a:t>
          </a:r>
          <a:r>
            <a:rPr lang="en-US" cap="none" sz="1000" b="0"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a:t>
          </a:r>
          <a:r>
            <a:rPr lang="en-US" cap="none" sz="1000" b="0" i="0" u="none" baseline="0">
              <a:solidFill>
                <a:srgbClr val="FFFFFF"/>
              </a:solidFill>
              <a:latin typeface="Arial"/>
              <a:ea typeface="Arial"/>
              <a:cs typeface="Arial"/>
            </a:rPr>
            <a:t> Property Income Tax</a:t>
          </a:r>
          <a:r>
            <a:rPr lang="en-US" cap="none" sz="1000" b="0"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a:t>
          </a:r>
          <a:r>
            <a:rPr lang="en-US" cap="none" sz="1000" b="0" i="0" u="none" baseline="0">
              <a:solidFill>
                <a:srgbClr val="FFFFFF"/>
              </a:solidFill>
              <a:latin typeface="Arial"/>
              <a:ea typeface="Arial"/>
              <a:cs typeface="Arial"/>
            </a:rPr>
            <a:t> Capital Gains Tax
</a:t>
          </a:r>
          <a:r>
            <a:rPr lang="en-US" cap="none" sz="1000" b="0" i="0" u="none" baseline="0">
              <a:solidFill>
                <a:srgbClr val="FFFFFF"/>
              </a:solidFill>
              <a:latin typeface="Arial"/>
              <a:ea typeface="Arial"/>
              <a:cs typeface="Arial"/>
            </a:rPr>
            <a:t>■</a:t>
          </a:r>
          <a:r>
            <a:rPr lang="en-US" cap="none" sz="1000" b="0" i="0" u="none" baseline="0">
              <a:solidFill>
                <a:srgbClr val="FFFFFF"/>
              </a:solidFill>
              <a:latin typeface="Arial"/>
              <a:ea typeface="Arial"/>
              <a:cs typeface="Arial"/>
            </a:rPr>
            <a:t> Transfer &amp; Bond Costs</a:t>
          </a:r>
          <a:r>
            <a:rPr lang="en-US" cap="none" sz="1000" b="0"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a:t>
          </a:r>
          <a:r>
            <a:rPr lang="en-US" cap="none" sz="1000" b="0" i="0" u="none" baseline="0">
              <a:solidFill>
                <a:srgbClr val="FFFFFF"/>
              </a:solidFill>
              <a:latin typeface="Arial"/>
              <a:ea typeface="Arial"/>
              <a:cs typeface="Arial"/>
            </a:rPr>
            <a:t> Effective Interest</a:t>
          </a:r>
        </a:p>
      </xdr:txBody>
    </xdr:sp>
    <xdr:clientData fPrintsWithSheet="0"/>
  </xdr:twoCellAnchor>
  <xdr:twoCellAnchor editAs="absolute">
    <xdr:from>
      <xdr:col>3</xdr:col>
      <xdr:colOff>85725</xdr:colOff>
      <xdr:row>18</xdr:row>
      <xdr:rowOff>104775</xdr:rowOff>
    </xdr:from>
    <xdr:to>
      <xdr:col>5</xdr:col>
      <xdr:colOff>333375</xdr:colOff>
      <xdr:row>21</xdr:row>
      <xdr:rowOff>47625</xdr:rowOff>
    </xdr:to>
    <xdr:sp>
      <xdr:nvSpPr>
        <xdr:cNvPr id="2" name="Rectangle 8">
          <a:hlinkClick r:id="rId1"/>
        </xdr:cNvPr>
        <xdr:cNvSpPr>
          <a:spLocks/>
        </xdr:cNvSpPr>
      </xdr:nvSpPr>
      <xdr:spPr>
        <a:xfrm>
          <a:off x="3228975" y="3019425"/>
          <a:ext cx="2343150" cy="428625"/>
        </a:xfrm>
        <a:prstGeom prst="rect">
          <a:avLst/>
        </a:prstGeom>
        <a:solidFill>
          <a:srgbClr val="00002B">
            <a:alpha val="50000"/>
          </a:srgbClr>
        </a:solidFill>
        <a:ln w="15875" cmpd="dbl">
          <a:solidFill>
            <a:srgbClr val="FFFFFF"/>
          </a:solidFill>
          <a:headEnd type="none"/>
          <a:tailEnd type="none"/>
        </a:ln>
      </xdr:spPr>
      <xdr:txBody>
        <a:bodyPr vertOverflow="clip" wrap="square" lIns="0" tIns="0" rIns="0" bIns="0" anchor="ctr"/>
        <a:p>
          <a:pPr algn="ctr">
            <a:defRPr/>
          </a:pPr>
          <a:r>
            <a:rPr lang="en-US" cap="none" sz="1050" b="1" i="0" u="none" baseline="0">
              <a:solidFill>
                <a:srgbClr val="FFFF99"/>
              </a:solidFill>
              <a:latin typeface="Arial"/>
              <a:ea typeface="Arial"/>
              <a:cs typeface="Arial"/>
            </a:rPr>
            <a:t>View samples of all our  templates</a:t>
          </a:r>
          <a:r>
            <a:rPr lang="en-US" cap="none" sz="1100" b="1" i="0" u="sng" baseline="0">
              <a:solidFill>
                <a:srgbClr val="FFFF99"/>
              </a:solidFill>
              <a:latin typeface="Arial"/>
              <a:ea typeface="Arial"/>
              <a:cs typeface="Arial"/>
            </a:rPr>
            <a:t>
</a:t>
          </a:r>
          <a:r>
            <a:rPr lang="en-US" cap="none" sz="800" b="1" i="0" u="none" baseline="0">
              <a:solidFill>
                <a:srgbClr val="FFFFFF"/>
              </a:solidFill>
              <a:latin typeface="Arial"/>
              <a:ea typeface="Arial"/>
              <a:cs typeface="Arial"/>
            </a:rPr>
            <a:t>click here</a:t>
          </a:r>
        </a:p>
      </xdr:txBody>
    </xdr:sp>
    <xdr:clientData fPrintsWithSheet="0"/>
  </xdr:twoCellAnchor>
  <xdr:twoCellAnchor editAs="absolute">
    <xdr:from>
      <xdr:col>5</xdr:col>
      <xdr:colOff>523875</xdr:colOff>
      <xdr:row>18</xdr:row>
      <xdr:rowOff>104775</xdr:rowOff>
    </xdr:from>
    <xdr:to>
      <xdr:col>7</xdr:col>
      <xdr:colOff>771525</xdr:colOff>
      <xdr:row>21</xdr:row>
      <xdr:rowOff>47625</xdr:rowOff>
    </xdr:to>
    <xdr:sp>
      <xdr:nvSpPr>
        <xdr:cNvPr id="3" name="Rectangle 9">
          <a:hlinkClick r:id="rId2"/>
        </xdr:cNvPr>
        <xdr:cNvSpPr>
          <a:spLocks/>
        </xdr:cNvSpPr>
      </xdr:nvSpPr>
      <xdr:spPr>
        <a:xfrm>
          <a:off x="5762625" y="3019425"/>
          <a:ext cx="2343150" cy="428625"/>
        </a:xfrm>
        <a:prstGeom prst="rect">
          <a:avLst/>
        </a:prstGeom>
        <a:solidFill>
          <a:srgbClr val="00002B">
            <a:alpha val="50000"/>
          </a:srgbClr>
        </a:solidFill>
        <a:ln w="15875" cmpd="dbl">
          <a:solidFill>
            <a:srgbClr val="FFFFFF"/>
          </a:solidFill>
          <a:headEnd type="none"/>
          <a:tailEnd type="none"/>
        </a:ln>
      </xdr:spPr>
      <xdr:txBody>
        <a:bodyPr vertOverflow="clip" wrap="square" lIns="0" tIns="0" rIns="0" bIns="0" anchor="ctr"/>
        <a:p>
          <a:pPr algn="ctr">
            <a:defRPr/>
          </a:pPr>
          <a:r>
            <a:rPr lang="en-US" cap="none" sz="1050" b="1" i="0" u="none" baseline="0">
              <a:solidFill>
                <a:srgbClr val="FFFF99"/>
              </a:solidFill>
              <a:latin typeface="Arial"/>
              <a:ea typeface="Arial"/>
              <a:cs typeface="Arial"/>
            </a:rPr>
            <a:t>Free online bond calculators</a:t>
          </a:r>
          <a:r>
            <a:rPr lang="en-US" cap="none" sz="1100" b="1" i="0" u="sng" baseline="0">
              <a:solidFill>
                <a:srgbClr val="FFFF99"/>
              </a:solidFill>
              <a:latin typeface="Arial"/>
              <a:ea typeface="Arial"/>
              <a:cs typeface="Arial"/>
            </a:rPr>
            <a:t>
</a:t>
          </a:r>
          <a:r>
            <a:rPr lang="en-US" cap="none" sz="800" b="1" i="0" u="none" baseline="0">
              <a:solidFill>
                <a:srgbClr val="FFFFFF"/>
              </a:solidFill>
              <a:latin typeface="Arial"/>
              <a:ea typeface="Arial"/>
              <a:cs typeface="Arial"/>
            </a:rPr>
            <a:t>click here</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15</xdr:row>
      <xdr:rowOff>28575</xdr:rowOff>
    </xdr:from>
    <xdr:to>
      <xdr:col>8</xdr:col>
      <xdr:colOff>1038225</xdr:colOff>
      <xdr:row>30</xdr:row>
      <xdr:rowOff>114300</xdr:rowOff>
    </xdr:to>
    <xdr:graphicFrame>
      <xdr:nvGraphicFramePr>
        <xdr:cNvPr id="1" name="Chart 1"/>
        <xdr:cNvGraphicFramePr/>
      </xdr:nvGraphicFramePr>
      <xdr:xfrm>
        <a:off x="4857750" y="2867025"/>
        <a:ext cx="6191250" cy="2800350"/>
      </xdr:xfrm>
      <a:graphic>
        <a:graphicData uri="http://schemas.openxmlformats.org/drawingml/2006/chart">
          <c:chart xmlns:c="http://schemas.openxmlformats.org/drawingml/2006/chart" r:id="rId1"/>
        </a:graphicData>
      </a:graphic>
    </xdr:graphicFrame>
    <xdr:clientData/>
  </xdr:twoCellAnchor>
  <xdr:twoCellAnchor>
    <xdr:from>
      <xdr:col>3</xdr:col>
      <xdr:colOff>85725</xdr:colOff>
      <xdr:row>0</xdr:row>
      <xdr:rowOff>47625</xdr:rowOff>
    </xdr:from>
    <xdr:to>
      <xdr:col>8</xdr:col>
      <xdr:colOff>1038225</xdr:colOff>
      <xdr:row>14</xdr:row>
      <xdr:rowOff>133350</xdr:rowOff>
    </xdr:to>
    <xdr:graphicFrame>
      <xdr:nvGraphicFramePr>
        <xdr:cNvPr id="2" name="Chart 2"/>
        <xdr:cNvGraphicFramePr/>
      </xdr:nvGraphicFramePr>
      <xdr:xfrm>
        <a:off x="4857750" y="47625"/>
        <a:ext cx="6191250" cy="27432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342900</xdr:colOff>
      <xdr:row>11</xdr:row>
      <xdr:rowOff>57150</xdr:rowOff>
    </xdr:from>
    <xdr:to>
      <xdr:col>11</xdr:col>
      <xdr:colOff>123825</xdr:colOff>
      <xdr:row>20</xdr:row>
      <xdr:rowOff>142875</xdr:rowOff>
    </xdr:to>
    <xdr:sp>
      <xdr:nvSpPr>
        <xdr:cNvPr id="1" name="Rectangle 1"/>
        <xdr:cNvSpPr>
          <a:spLocks/>
        </xdr:cNvSpPr>
      </xdr:nvSpPr>
      <xdr:spPr>
        <a:xfrm>
          <a:off x="8429625" y="1971675"/>
          <a:ext cx="3886200" cy="1628775"/>
        </a:xfrm>
        <a:prstGeom prst="rect">
          <a:avLst/>
        </a:prstGeom>
        <a:gradFill rotWithShape="1">
          <a:gsLst>
            <a:gs pos="0">
              <a:srgbClr val="000050"/>
            </a:gs>
            <a:gs pos="100000">
              <a:srgbClr val="000029"/>
            </a:gs>
          </a:gsLst>
          <a:path path="rect">
            <a:fillToRect l="50000" t="50000" r="50000" b="50000"/>
          </a:path>
        </a:gradFill>
        <a:ln w="9525" cmpd="sng">
          <a:noFill/>
        </a:ln>
      </xdr:spPr>
      <xdr:txBody>
        <a:bodyPr vertOverflow="clip" wrap="square" lIns="108000" tIns="108000" rIns="108000" bIns="108000" anchor="ctr"/>
        <a:p>
          <a:pPr algn="ctr">
            <a:defRPr/>
          </a:pPr>
          <a:r>
            <a:rPr lang="en-US" cap="none" sz="900" b="1" i="0" u="none" baseline="0">
              <a:solidFill>
                <a:srgbClr val="FFFF99"/>
              </a:solidFill>
              <a:latin typeface="Arial"/>
              <a:ea typeface="Arial"/>
              <a:cs typeface="Arial"/>
            </a:rPr>
            <a:t>On this sheet:</a:t>
          </a:r>
          <a:r>
            <a:rPr lang="en-US" cap="none" sz="1100" b="1" i="0" u="none" baseline="0">
              <a:solidFill>
                <a:srgbClr val="FFFFFF"/>
              </a:solidFill>
              <a:latin typeface="Arial"/>
              <a:ea typeface="Arial"/>
              <a:cs typeface="Arial"/>
            </a:rPr>
            <a:t>
</a:t>
          </a:r>
          <a:r>
            <a:rPr lang="en-US" cap="none" sz="1200" b="1" i="0" u="none" baseline="0">
              <a:solidFill>
                <a:srgbClr val="FFFFFF"/>
              </a:solidFill>
              <a:latin typeface="Arial"/>
              <a:ea typeface="Arial"/>
              <a:cs typeface="Arial"/>
            </a:rPr>
            <a:t>Simply enter the appropriate values in the yellow input cells in order to calculate your monthly net disposable income. All input values need to be entered as positive values and guidance on the user input that is required in all the input cells can be found from row 38 downwards.</a:t>
          </a:r>
        </a:p>
      </xdr:txBody>
    </xdr:sp>
    <xdr:clientData fLocksWithSheet="0"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opertyreality.co.za/"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B2" sqref="B2"/>
    </sheetView>
  </sheetViews>
  <sheetFormatPr defaultColWidth="9.140625" defaultRowHeight="12.75"/>
  <cols>
    <col min="1" max="18" width="15.7109375" style="2" customWidth="1"/>
    <col min="19" max="16384" width="9.140625" style="2"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sheetData>
  <sheetProtection/>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45"/>
  <sheetViews>
    <sheetView zoomScale="95" zoomScaleNormal="95"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3.5" customHeight="1"/>
  <cols>
    <col min="1" max="1" width="100.7109375" style="2" customWidth="1"/>
    <col min="2" max="13" width="15.7109375" style="2" customWidth="1"/>
    <col min="14" max="35" width="25.7109375" style="2" customWidth="1"/>
    <col min="36" max="16384" width="9.140625" style="2" customWidth="1"/>
  </cols>
  <sheetData>
    <row r="1" ht="18" customHeight="1">
      <c r="A1" s="9" t="s">
        <v>187</v>
      </c>
    </row>
    <row r="2" ht="14.25">
      <c r="A2" s="105" t="s">
        <v>142</v>
      </c>
    </row>
    <row r="3" ht="13.5" customHeight="1">
      <c r="A3" s="79" t="s">
        <v>188</v>
      </c>
    </row>
    <row r="4" ht="13.5" customHeight="1">
      <c r="A4" s="10"/>
    </row>
    <row r="5" ht="63.75" customHeight="1">
      <c r="A5" s="1" t="s">
        <v>179</v>
      </c>
    </row>
    <row r="7" ht="12.75">
      <c r="A7" s="2" t="s">
        <v>180</v>
      </c>
    </row>
    <row r="8" s="1" customFormat="1" ht="13.5" customHeight="1">
      <c r="A8" s="2"/>
    </row>
    <row r="9" s="1" customFormat="1" ht="15">
      <c r="A9" s="3" t="s">
        <v>135</v>
      </c>
    </row>
    <row r="10" s="1" customFormat="1" ht="13.5" customHeight="1">
      <c r="A10" s="3"/>
    </row>
    <row r="11" s="1" customFormat="1" ht="51">
      <c r="A11" s="1" t="s">
        <v>196</v>
      </c>
    </row>
    <row r="12" s="1" customFormat="1" ht="13.5" customHeight="1"/>
    <row r="13" s="1" customFormat="1" ht="14.25">
      <c r="A13" s="4" t="s">
        <v>174</v>
      </c>
    </row>
    <row r="14" s="1" customFormat="1" ht="13.5" customHeight="1">
      <c r="A14" s="4"/>
    </row>
    <row r="15" s="1" customFormat="1" ht="25.5">
      <c r="A15" s="5" t="s">
        <v>197</v>
      </c>
    </row>
    <row r="16" s="1" customFormat="1" ht="25.5">
      <c r="A16" s="5" t="s">
        <v>199</v>
      </c>
    </row>
    <row r="17" s="1" customFormat="1" ht="25.5">
      <c r="A17" s="5" t="s">
        <v>201</v>
      </c>
    </row>
    <row r="18" s="1" customFormat="1" ht="25.5">
      <c r="A18" s="1" t="s">
        <v>202</v>
      </c>
    </row>
    <row r="19" s="1" customFormat="1" ht="63.75">
      <c r="A19" s="1" t="s">
        <v>186</v>
      </c>
    </row>
    <row r="20" s="1" customFormat="1" ht="25.5">
      <c r="A20" s="1" t="s">
        <v>203</v>
      </c>
    </row>
    <row r="21" s="1" customFormat="1" ht="25.5">
      <c r="A21" s="1" t="s">
        <v>144</v>
      </c>
    </row>
    <row r="22" s="1" customFormat="1" ht="76.5">
      <c r="A22" s="1" t="s">
        <v>204</v>
      </c>
    </row>
    <row r="23" s="1" customFormat="1" ht="38.25">
      <c r="A23" s="1" t="s">
        <v>205</v>
      </c>
    </row>
    <row r="24" s="1" customFormat="1" ht="12.75" customHeight="1">
      <c r="A24" s="1" t="s">
        <v>206</v>
      </c>
    </row>
    <row r="25" s="1" customFormat="1" ht="25.5">
      <c r="A25" s="1" t="s">
        <v>207</v>
      </c>
    </row>
    <row r="26" s="1" customFormat="1" ht="12.75"/>
    <row r="27" s="1" customFormat="1" ht="15">
      <c r="A27" s="6" t="s">
        <v>208</v>
      </c>
    </row>
    <row r="28" s="1" customFormat="1" ht="12.75"/>
    <row r="29" s="1" customFormat="1" ht="51">
      <c r="A29" s="1" t="s">
        <v>209</v>
      </c>
    </row>
    <row r="30" s="1" customFormat="1" ht="13.5" customHeight="1"/>
    <row r="31" s="1" customFormat="1" ht="15">
      <c r="A31" s="6" t="s">
        <v>134</v>
      </c>
    </row>
    <row r="32" s="1" customFormat="1" ht="13.5" customHeight="1">
      <c r="A32" s="6"/>
    </row>
    <row r="33" s="1" customFormat="1" ht="38.25">
      <c r="A33" s="1" t="s">
        <v>143</v>
      </c>
    </row>
    <row r="34" s="1" customFormat="1" ht="13.5" customHeight="1"/>
    <row r="35" s="1" customFormat="1" ht="15">
      <c r="A35" s="6" t="s">
        <v>133</v>
      </c>
    </row>
    <row r="36" s="1" customFormat="1" ht="13.5" customHeight="1">
      <c r="A36" s="6"/>
    </row>
    <row r="37" s="1" customFormat="1" ht="76.5">
      <c r="A37" s="1" t="s">
        <v>210</v>
      </c>
    </row>
    <row r="38" s="1" customFormat="1" ht="13.5" customHeight="1"/>
    <row r="39" ht="15">
      <c r="A39" s="6" t="s">
        <v>136</v>
      </c>
    </row>
    <row r="40" ht="13.5" customHeight="1">
      <c r="A40" s="6"/>
    </row>
    <row r="41" ht="25.5">
      <c r="A41" s="1" t="s">
        <v>211</v>
      </c>
    </row>
    <row r="42" ht="13.5" customHeight="1">
      <c r="A42" s="1"/>
    </row>
    <row r="43" ht="15">
      <c r="A43" s="6"/>
    </row>
    <row r="44" ht="13.5" customHeight="1">
      <c r="A44" s="7"/>
    </row>
    <row r="45" ht="12.75">
      <c r="A45" s="8"/>
    </row>
  </sheetData>
  <sheetProtection selectLockedCells="1"/>
  <hyperlinks>
    <hyperlink ref="A3" r:id="rId1" display="www.propertyreality.co.za"/>
  </hyperlinks>
  <printOptions/>
  <pageMargins left="0.5511811023622047" right="0.5511811023622047" top="0.5905511811023623" bottom="0.5905511811023623" header="0.31496062992125984" footer="0.31496062992125984"/>
  <pageSetup fitToHeight="0" fitToWidth="1" horizontalDpi="600" verticalDpi="600" orientation="portrait" paperSize="9" r:id="rId2"/>
  <headerFooter alignWithMargins="0">
    <oddFooter>&amp;CPage &amp;P of &amp;N</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C30"/>
  <sheetViews>
    <sheetView zoomScale="95" zoomScaleNormal="95" zoomScalePageLayoutView="0" workbookViewId="0" topLeftCell="A1">
      <selection activeCell="B4" sqref="B4"/>
    </sheetView>
  </sheetViews>
  <sheetFormatPr defaultColWidth="9.140625" defaultRowHeight="13.5" customHeight="1"/>
  <cols>
    <col min="1" max="1" width="40.140625" style="12" customWidth="1"/>
    <col min="2" max="19" width="15.7109375" style="12" customWidth="1"/>
    <col min="20" max="16384" width="9.140625" style="12" customWidth="1"/>
  </cols>
  <sheetData>
    <row r="1" spans="1:3" ht="15.75">
      <c r="A1" s="124" t="s">
        <v>5</v>
      </c>
      <c r="C1" s="79"/>
    </row>
    <row r="2" ht="13.5" customHeight="1">
      <c r="A2" s="120" t="s">
        <v>212</v>
      </c>
    </row>
    <row r="3" ht="15">
      <c r="A3" s="13" t="s">
        <v>6</v>
      </c>
    </row>
    <row r="4" spans="1:2" ht="15.75" customHeight="1">
      <c r="A4" s="80" t="s">
        <v>7</v>
      </c>
      <c r="B4" s="116">
        <v>2500000</v>
      </c>
    </row>
    <row r="5" spans="1:2" ht="15.75" customHeight="1">
      <c r="A5" s="80" t="s">
        <v>1</v>
      </c>
      <c r="B5" s="125">
        <v>0.0725</v>
      </c>
    </row>
    <row r="6" spans="1:2" ht="15.75" customHeight="1">
      <c r="A6" s="80" t="s">
        <v>9</v>
      </c>
      <c r="B6" s="117">
        <v>20</v>
      </c>
    </row>
    <row r="7" spans="1:2" ht="15.75" customHeight="1">
      <c r="A7" s="80" t="s">
        <v>137</v>
      </c>
      <c r="B7" s="116">
        <v>2000</v>
      </c>
    </row>
    <row r="8" spans="1:2" ht="15.75" customHeight="1">
      <c r="A8" s="80" t="s">
        <v>90</v>
      </c>
      <c r="B8" s="130">
        <v>0.0825</v>
      </c>
    </row>
    <row r="9" spans="1:2" ht="15.75" customHeight="1">
      <c r="A9" s="80" t="s">
        <v>91</v>
      </c>
      <c r="B9" s="118">
        <v>0.06</v>
      </c>
    </row>
    <row r="11" ht="14.25" customHeight="1">
      <c r="A11" s="13" t="s">
        <v>174</v>
      </c>
    </row>
    <row r="12" spans="1:2" ht="14.25" customHeight="1">
      <c r="A12" s="12" t="s">
        <v>8</v>
      </c>
      <c r="B12" s="14">
        <f>PMT(B5/12,B6*12,-B4,0,0)</f>
        <v>19759.39962294191</v>
      </c>
    </row>
    <row r="13" spans="1:2" ht="14.25" customHeight="1">
      <c r="A13" s="12" t="s">
        <v>198</v>
      </c>
      <c r="B13" s="15">
        <f>B14-B4</f>
        <v>2242255.9095060583</v>
      </c>
    </row>
    <row r="14" spans="1:2" ht="14.25" customHeight="1">
      <c r="A14" s="12" t="s">
        <v>200</v>
      </c>
      <c r="B14" s="15">
        <f>B12*12*B6</f>
        <v>4742255.909506058</v>
      </c>
    </row>
    <row r="15" ht="14.25" customHeight="1">
      <c r="B15" s="15"/>
    </row>
    <row r="16" spans="1:2" ht="14.25" customHeight="1">
      <c r="A16" s="12" t="s">
        <v>87</v>
      </c>
      <c r="B16" s="16">
        <f>NetDisposable!$C$35</f>
        <v>25000</v>
      </c>
    </row>
    <row r="17" spans="1:2" ht="14.25" customHeight="1">
      <c r="A17" s="12" t="s">
        <v>181</v>
      </c>
      <c r="B17" s="14">
        <f>-PV(B5/12,B6*12,B16,0,0)</f>
        <v>3163051.570020051</v>
      </c>
    </row>
    <row r="18" spans="1:2" ht="14.25" customHeight="1">
      <c r="A18" s="12" t="s">
        <v>132</v>
      </c>
      <c r="B18" s="14">
        <f>B12</f>
        <v>19759.39962294191</v>
      </c>
    </row>
    <row r="19" spans="1:2" ht="14.25" customHeight="1">
      <c r="A19" s="12" t="s">
        <v>89</v>
      </c>
      <c r="B19" s="17">
        <f>IF(B16=0,"no NDI",IF(B4=0,0,(RATE(B6*12,B16,-B4,0,0)*12)-B5))</f>
        <v>0.03274110872594781</v>
      </c>
    </row>
    <row r="20" ht="14.25" customHeight="1"/>
    <row r="21" spans="1:2" ht="14.25" customHeight="1">
      <c r="A21" s="12" t="s">
        <v>182</v>
      </c>
      <c r="B21" s="14">
        <f>B12+B7</f>
        <v>21759.39962294191</v>
      </c>
    </row>
    <row r="22" spans="1:2" ht="14.25" customHeight="1">
      <c r="A22" s="12" t="s">
        <v>126</v>
      </c>
      <c r="B22" s="14">
        <f>MonthAmort!L364</f>
        <v>1779445.7041441083</v>
      </c>
    </row>
    <row r="23" spans="1:2" ht="14.25" customHeight="1">
      <c r="A23" s="12" t="s">
        <v>183</v>
      </c>
      <c r="B23" s="14">
        <f>NPER(B5/12,B21,-B4,0,0)</f>
        <v>196.6704644482751</v>
      </c>
    </row>
    <row r="24" spans="1:2" ht="14.25" customHeight="1">
      <c r="A24" s="12" t="s">
        <v>184</v>
      </c>
      <c r="B24" s="14">
        <f>B23/12</f>
        <v>16.38920537068959</v>
      </c>
    </row>
    <row r="25" spans="1:2" ht="14.25" customHeight="1">
      <c r="A25" s="12" t="s">
        <v>127</v>
      </c>
      <c r="B25" s="14">
        <f>MonthAmort!P364</f>
        <v>462810.20536194765</v>
      </c>
    </row>
    <row r="26" spans="1:2" ht="14.25" customHeight="1">
      <c r="A26" s="12" t="s">
        <v>128</v>
      </c>
      <c r="B26" s="14">
        <f>MonthAmort!S364</f>
        <v>220327.35686264653</v>
      </c>
    </row>
    <row r="27" ht="14.25" customHeight="1"/>
    <row r="28" spans="1:2" ht="14.25" customHeight="1">
      <c r="A28" s="12" t="str">
        <f>"Monthly Bond Repayment @ "&amp;FIXED(B5*100,2)&amp;"%"</f>
        <v>Monthly Bond Repayment @ 7.25%</v>
      </c>
      <c r="B28" s="15">
        <f>B12</f>
        <v>19759.39962294191</v>
      </c>
    </row>
    <row r="29" spans="1:2" ht="14.25" customHeight="1">
      <c r="A29" s="12" t="str">
        <f>"Monthly Bond Repayment @ "&amp;FIXED(B8*100,1)&amp;"%"</f>
        <v>Monthly Bond Repayment @ 8.3%</v>
      </c>
      <c r="B29" s="14">
        <f>PMT(B8/12,B6*12,-B4,0,0)</f>
        <v>21301.64130777178</v>
      </c>
    </row>
    <row r="30" spans="1:2" ht="14.25" customHeight="1">
      <c r="A30" s="12" t="s">
        <v>185</v>
      </c>
      <c r="B30" s="15">
        <f>B29-B28</f>
        <v>1542.2416848298708</v>
      </c>
    </row>
  </sheetData>
  <sheetProtection/>
  <dataValidations count="5">
    <dataValidation type="decimal" allowBlank="1" showInputMessage="1" showErrorMessage="1" promptTitle="Annual Interest Rate" prompt="Enter the annual interest rate as a percentage." errorTitle="Invalid Input" error="The annual interest rate must be a percentage!" sqref="B5">
      <formula1>0</formula1>
      <formula2>1</formula2>
    </dataValidation>
    <dataValidation type="whole" showInputMessage="1" showErrorMessage="1" promptTitle="Bond Period in Years" prompt="Enter a bond repayment period of between 1 and 30 years." errorTitle="Invalid Input" error="The bond period must be between 1 and 30 years!" sqref="B6">
      <formula1>1</formula1>
      <formula2>30</formula2>
    </dataValidation>
    <dataValidation allowBlank="1" showInputMessage="1" showErrorMessage="1" promptTitle="Increased Instalment" prompt="Enter an additional monthly bond repayment amount for increased instalment calculation purposes." sqref="B7"/>
    <dataValidation type="decimal" allowBlank="1" showInputMessage="1" showErrorMessage="1" promptTitle="Interest Rate Sensitivity" prompt="Enter a second interest rate for comparison against the annual bond interest rate." errorTitle="Invalid Input" error="This interest rate must be entered as a percentage!" sqref="B8">
      <formula1>0</formula1>
      <formula2>1</formula2>
    </dataValidation>
    <dataValidation type="decimal" allowBlank="1" showInputMessage="1" showErrorMessage="1" promptTitle="Annual Inflation Rate" prompt="Enter the average annual inflation rate percentage. This value forms part of the present value calculation of the increased instalment interest saving." errorTitle="Invalid Input" error="The average inflation rate must be entered as a percentage!" sqref="B9">
      <formula1>0</formula1>
      <formula2>1</formula2>
    </dataValidation>
  </dataValidations>
  <printOptions/>
  <pageMargins left="0.75" right="0.75" top="1" bottom="1" header="0.5" footer="0.5"/>
  <pageSetup fitToHeight="1" fitToWidth="1" horizontalDpi="600" verticalDpi="600" orientation="landscape" paperSize="9" scale="80" r:id="rId2"/>
  <headerFooter alignWithMargins="0">
    <oddFooter>&amp;CPage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D16"/>
  <sheetViews>
    <sheetView zoomScale="95" zoomScaleNormal="95" zoomScalePageLayoutView="0" workbookViewId="0" topLeftCell="A1">
      <selection activeCell="A3" sqref="A3"/>
    </sheetView>
  </sheetViews>
  <sheetFormatPr defaultColWidth="9.140625" defaultRowHeight="15" customHeight="1"/>
  <cols>
    <col min="1" max="1" width="15.7109375" style="129" customWidth="1"/>
    <col min="2" max="14" width="15.7109375" style="112" customWidth="1"/>
    <col min="15" max="16384" width="9.140625" style="112" customWidth="1"/>
  </cols>
  <sheetData>
    <row r="1" ht="15.75">
      <c r="A1" s="126" t="s">
        <v>191</v>
      </c>
    </row>
    <row r="2" ht="15" customHeight="1">
      <c r="A2" s="127" t="s">
        <v>212</v>
      </c>
    </row>
    <row r="3" spans="1:4" s="114" customFormat="1" ht="18" customHeight="1">
      <c r="A3" s="128" t="s">
        <v>192</v>
      </c>
      <c r="B3" s="113" t="s">
        <v>194</v>
      </c>
      <c r="C3" s="113" t="s">
        <v>193</v>
      </c>
      <c r="D3" s="113" t="s">
        <v>195</v>
      </c>
    </row>
    <row r="4" spans="1:4" ht="15" customHeight="1">
      <c r="A4" s="129">
        <f aca="true" t="shared" si="0" ref="A4:A9">A5-0.5%</f>
        <v>0.0425</v>
      </c>
      <c r="B4" s="115">
        <f>PMT($A4/12,180,-BondCalculator!$B$4,0,0)</f>
        <v>18806.960277732273</v>
      </c>
      <c r="C4" s="115">
        <f>PMT($A4/12,240,-BondCalculator!$B$4,0,0)</f>
        <v>15480.861729365444</v>
      </c>
      <c r="D4" s="115">
        <f>PMT($A4/12,360,-BondCalculator!$B$4,0,0)</f>
        <v>12298.497276987091</v>
      </c>
    </row>
    <row r="5" spans="1:4" ht="15" customHeight="1">
      <c r="A5" s="129">
        <f t="shared" si="0"/>
        <v>0.0475</v>
      </c>
      <c r="B5" s="115">
        <f>PMT($A5/12,180,-BondCalculator!$B$4,0,0)</f>
        <v>19445.79794275777</v>
      </c>
      <c r="C5" s="115">
        <f>PMT($A5/12,240,-BondCalculator!$B$4,0,0)</f>
        <v>16155.590694405577</v>
      </c>
      <c r="D5" s="115">
        <f>PMT($A5/12,360,-BondCalculator!$B$4,0,0)</f>
        <v>13041.183412577773</v>
      </c>
    </row>
    <row r="6" spans="1:4" ht="15" customHeight="1">
      <c r="A6" s="129">
        <f t="shared" si="0"/>
        <v>0.0525</v>
      </c>
      <c r="B6" s="115">
        <f>PMT($A6/12,180,-BondCalculator!$B$4,0,0)</f>
        <v>20096.94288612739</v>
      </c>
      <c r="C6" s="115">
        <f>PMT($A6/12,240,-BondCalculator!$B$4,0,0)</f>
        <v>16846.1041586283</v>
      </c>
      <c r="D6" s="115">
        <f>PMT($A6/12,360,-BondCalculator!$B$4,0,0)</f>
        <v>13805.092553547458</v>
      </c>
    </row>
    <row r="7" spans="1:4" ht="15" customHeight="1">
      <c r="A7" s="129">
        <f t="shared" si="0"/>
        <v>0.057499999999999996</v>
      </c>
      <c r="B7" s="115">
        <f>PMT($A7/12,180,-BondCalculator!$B$4,0,0)</f>
        <v>20760.25217549164</v>
      </c>
      <c r="C7" s="115">
        <f>PMT($A7/12,240,-BondCalculator!$B$4,0,0)</f>
        <v>17552.087696776358</v>
      </c>
      <c r="D7" s="115">
        <f>PMT($A7/12,360,-BondCalculator!$B$4,0,0)</f>
        <v>14589.321411088822</v>
      </c>
    </row>
    <row r="8" spans="1:4" ht="15" customHeight="1">
      <c r="A8" s="129">
        <f t="shared" si="0"/>
        <v>0.06249999999999999</v>
      </c>
      <c r="B8" s="115">
        <f>PMT($A8/12,180,-BondCalculator!$B$4,0,0)</f>
        <v>21435.57166250419</v>
      </c>
      <c r="C8" s="115">
        <f>PMT($A8/12,240,-BondCalculator!$B$4,0,0)</f>
        <v>18273.20505943922</v>
      </c>
      <c r="D8" s="115">
        <f>PMT($A8/12,360,-BondCalculator!$B$4,0,0)</f>
        <v>15392.93001065979</v>
      </c>
    </row>
    <row r="9" spans="1:4" ht="15" customHeight="1">
      <c r="A9" s="129">
        <f t="shared" si="0"/>
        <v>0.06749999999999999</v>
      </c>
      <c r="B9" s="115">
        <f>PMT($A9/12,180,-BondCalculator!$B$4,0,0)</f>
        <v>22122.736556350534</v>
      </c>
      <c r="C9" s="115">
        <f>PMT($A9/12,240,-BondCalculator!$B$4,0,0)</f>
        <v>19009.100244076384</v>
      </c>
      <c r="D9" s="115">
        <f>PMT($A9/12,360,-BondCalculator!$B$4,0,0)</f>
        <v>16214.952414205378</v>
      </c>
    </row>
    <row r="10" spans="1:4" ht="15" customHeight="1">
      <c r="A10" s="129">
        <f>BondCalculator!$B$5</f>
        <v>0.0725</v>
      </c>
      <c r="B10" s="115">
        <f>PMT($A10/12,180,-BondCalculator!$B$4,0,0)</f>
        <v>22821.57202584965</v>
      </c>
      <c r="C10" s="14">
        <f>PMT($A10/12,240,-BondCalculator!$B$4,0,0)</f>
        <v>19759.39962294191</v>
      </c>
      <c r="D10" s="115">
        <f>PMT($A10/12,360,-BondCalculator!$B$4,0,0)</f>
        <v>17054.407001404797</v>
      </c>
    </row>
    <row r="11" spans="1:4" ht="15" customHeight="1">
      <c r="A11" s="129">
        <f aca="true" t="shared" si="1" ref="A11:A16">A10+0.5%</f>
        <v>0.0775</v>
      </c>
      <c r="B11" s="115">
        <f>PMT($A11/12,180,-BondCalculator!$B$4,0,0)</f>
        <v>23531.8938260054</v>
      </c>
      <c r="C11" s="115">
        <f>PMT($A11/12,240,-BondCalculator!$B$4,0,0)</f>
        <v>20523.714104763865</v>
      </c>
      <c r="D11" s="115">
        <f>PMT($A11/12,360,-BondCalculator!$B$4,0,0)</f>
        <v>17910.30613897608</v>
      </c>
    </row>
    <row r="12" spans="1:4" ht="15" customHeight="1">
      <c r="A12" s="129">
        <f t="shared" si="1"/>
        <v>0.0825</v>
      </c>
      <c r="B12" s="115">
        <f>PMT($A12/12,180,-BondCalculator!$B$4,0,0)</f>
        <v>24253.50894482788</v>
      </c>
      <c r="C12" s="115">
        <f>PMT($A12/12,240,-BondCalculator!$B$4,0,0)</f>
        <v>21301.64130777178</v>
      </c>
      <c r="D12" s="115">
        <f>PMT($A12/12,360,-BondCalculator!$B$4,0,0)</f>
        <v>18781.665101273098</v>
      </c>
    </row>
    <row r="13" spans="1:4" ht="15" customHeight="1">
      <c r="A13" s="129">
        <f t="shared" si="1"/>
        <v>0.08750000000000001</v>
      </c>
      <c r="B13" s="115">
        <f>PMT($A13/12,180,-BondCalculator!$B$4,0,0)</f>
        <v>24986.21626623011</v>
      </c>
      <c r="C13" s="115">
        <f>PMT($A13/12,240,-BondCalculator!$B$4,0,0)</f>
        <v>22092.76772273587</v>
      </c>
      <c r="D13" s="115">
        <f>PMT($A13/12,360,-BondCalculator!$B$4,0,0)</f>
        <v>19667.510140334292</v>
      </c>
    </row>
    <row r="14" spans="1:4" ht="15" customHeight="1">
      <c r="A14" s="129">
        <f t="shared" si="1"/>
        <v>0.09250000000000001</v>
      </c>
      <c r="B14" s="115">
        <f>PMT($A14/12,180,-BondCalculator!$B$4,0,0)</f>
        <v>25729.807244831973</v>
      </c>
      <c r="C14" s="115">
        <f>PMT($A14/12,240,-BondCalculator!$B$4,0,0)</f>
        <v>22896.670846039502</v>
      </c>
      <c r="D14" s="115">
        <f>PMT($A14/12,360,-BondCalculator!$B$4,0,0)</f>
        <v>20566.88563760691</v>
      </c>
    </row>
    <row r="15" spans="1:4" ht="15" customHeight="1">
      <c r="A15" s="129">
        <f t="shared" si="1"/>
        <v>0.09750000000000002</v>
      </c>
      <c r="B15" s="115">
        <f>PMT($A15/12,180,-BondCalculator!$B$4,0,0)</f>
        <v>26484.066588568905</v>
      </c>
      <c r="C15" s="115">
        <f>PMT($A15/12,240,-BondCalculator!$B$4,0,0)</f>
        <v>23712.921264402918</v>
      </c>
      <c r="D15" s="115">
        <f>PMT($A15/12,360,-BondCalculator!$B$4,0,0)</f>
        <v>21478.860301468772</v>
      </c>
    </row>
    <row r="16" spans="1:4" ht="15" customHeight="1">
      <c r="A16" s="129">
        <f t="shared" si="1"/>
        <v>0.10250000000000002</v>
      </c>
      <c r="B16" s="115">
        <f>PMT($A16/12,180,-BondCalculator!$B$4,0,0)</f>
        <v>27248.772945104483</v>
      </c>
      <c r="C16" s="115">
        <f>PMT($A16/12,240,-BondCalculator!$B$4,0,0)</f>
        <v>24541.084674661106</v>
      </c>
      <c r="D16" s="115">
        <f>PMT($A16/12,360,-BondCalculator!$B$4,0,0)</f>
        <v>22402.53240340837</v>
      </c>
    </row>
  </sheetData>
  <sheetProtection/>
  <printOptions/>
  <pageMargins left="0.75" right="0.75" top="1" bottom="1" header="0.5" footer="0.5"/>
  <pageSetup fitToHeight="1" fitToWidth="1" horizontalDpi="600" verticalDpi="600" orientation="portrait" paperSize="9" r:id="rId1"/>
  <headerFooter alignWithMargins="0">
    <oddFooter>&amp;CPage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89"/>
  <sheetViews>
    <sheetView zoomScale="90" zoomScaleNormal="90" zoomScalePageLayoutView="0" workbookViewId="0" topLeftCell="A1">
      <pane ySplit="1" topLeftCell="A2" activePane="bottomLeft" state="frozen"/>
      <selection pane="topLeft" activeCell="A1" sqref="A1"/>
      <selection pane="bottomLeft" activeCell="C3" sqref="C3"/>
    </sheetView>
  </sheetViews>
  <sheetFormatPr defaultColWidth="9.140625" defaultRowHeight="13.5" customHeight="1"/>
  <cols>
    <col min="1" max="1" width="5.7109375" style="101" customWidth="1"/>
    <col min="2" max="2" width="46.28125" style="23" bestFit="1" customWidth="1"/>
    <col min="3" max="3" width="15.7109375" style="42" customWidth="1"/>
    <col min="4" max="4" width="5.7109375" style="87" customWidth="1"/>
    <col min="5" max="5" width="32.140625" style="23" bestFit="1" customWidth="1"/>
    <col min="6" max="6" width="15.7109375" style="42" customWidth="1"/>
    <col min="7" max="7" width="5.7109375" style="91" customWidth="1"/>
    <col min="8" max="8" width="25.28125" style="23" bestFit="1" customWidth="1"/>
    <col min="9" max="9" width="15.7109375" style="31" customWidth="1"/>
    <col min="10" max="10" width="5.7109375" style="95" customWidth="1"/>
    <col min="11" max="16384" width="9.140625" style="23" customWidth="1"/>
  </cols>
  <sheetData>
    <row r="1" spans="1:10" s="19" customFormat="1" ht="15.75">
      <c r="A1" s="100"/>
      <c r="B1" s="18" t="s">
        <v>81</v>
      </c>
      <c r="C1" s="18"/>
      <c r="D1" s="81"/>
      <c r="E1" s="18"/>
      <c r="F1" s="18"/>
      <c r="G1" s="81"/>
      <c r="I1" s="10"/>
      <c r="J1" s="121" t="s">
        <v>212</v>
      </c>
    </row>
    <row r="2" spans="2:10" ht="13.5" customHeight="1">
      <c r="B2" s="20" t="s">
        <v>10</v>
      </c>
      <c r="C2" s="21"/>
      <c r="D2" s="82"/>
      <c r="E2" s="22" t="s">
        <v>11</v>
      </c>
      <c r="F2" s="21"/>
      <c r="G2" s="89"/>
      <c r="H2" s="20" t="s">
        <v>68</v>
      </c>
      <c r="I2" s="21"/>
      <c r="J2" s="89"/>
    </row>
    <row r="3" spans="2:10" ht="13.5" customHeight="1">
      <c r="B3" s="24" t="s">
        <v>12</v>
      </c>
      <c r="C3" s="119">
        <v>25000</v>
      </c>
      <c r="D3" s="82">
        <v>1</v>
      </c>
      <c r="E3" s="25" t="s">
        <v>13</v>
      </c>
      <c r="F3" s="119">
        <v>0</v>
      </c>
      <c r="G3" s="89">
        <v>18</v>
      </c>
      <c r="H3" s="26" t="s">
        <v>70</v>
      </c>
      <c r="I3" s="119">
        <v>0</v>
      </c>
      <c r="J3" s="89">
        <v>42</v>
      </c>
    </row>
    <row r="4" spans="2:10" ht="13.5" customHeight="1">
      <c r="B4" s="24" t="s">
        <v>14</v>
      </c>
      <c r="C4" s="119">
        <v>0</v>
      </c>
      <c r="D4" s="82">
        <v>2</v>
      </c>
      <c r="E4" s="27" t="s">
        <v>15</v>
      </c>
      <c r="F4" s="119">
        <v>0</v>
      </c>
      <c r="G4" s="89">
        <v>19</v>
      </c>
      <c r="H4" s="26" t="s">
        <v>72</v>
      </c>
      <c r="I4" s="119">
        <v>0</v>
      </c>
      <c r="J4" s="89">
        <v>43</v>
      </c>
    </row>
    <row r="5" spans="2:10" ht="13.5" customHeight="1">
      <c r="B5" s="24" t="s">
        <v>16</v>
      </c>
      <c r="C5" s="119">
        <v>0</v>
      </c>
      <c r="D5" s="82">
        <v>3</v>
      </c>
      <c r="E5" s="24" t="s">
        <v>17</v>
      </c>
      <c r="F5" s="119">
        <v>0</v>
      </c>
      <c r="G5" s="89">
        <v>20</v>
      </c>
      <c r="H5" s="26" t="s">
        <v>73</v>
      </c>
      <c r="I5" s="119">
        <v>0</v>
      </c>
      <c r="J5" s="89">
        <v>44</v>
      </c>
    </row>
    <row r="6" spans="2:10" ht="13.5" customHeight="1">
      <c r="B6" s="24" t="s">
        <v>19</v>
      </c>
      <c r="C6" s="119">
        <v>0</v>
      </c>
      <c r="D6" s="82">
        <v>4</v>
      </c>
      <c r="E6" s="24" t="s">
        <v>20</v>
      </c>
      <c r="F6" s="119">
        <v>0</v>
      </c>
      <c r="G6" s="89">
        <v>21</v>
      </c>
      <c r="H6" s="26" t="s">
        <v>74</v>
      </c>
      <c r="I6" s="119">
        <v>0</v>
      </c>
      <c r="J6" s="89">
        <v>45</v>
      </c>
    </row>
    <row r="7" spans="2:10" ht="13.5" customHeight="1">
      <c r="B7" s="24" t="s">
        <v>21</v>
      </c>
      <c r="C7" s="119">
        <v>0</v>
      </c>
      <c r="D7" s="82">
        <v>5</v>
      </c>
      <c r="E7" s="25" t="s">
        <v>22</v>
      </c>
      <c r="F7" s="119">
        <v>0</v>
      </c>
      <c r="G7" s="89">
        <v>22</v>
      </c>
      <c r="H7" s="26" t="s">
        <v>75</v>
      </c>
      <c r="I7" s="119">
        <v>0</v>
      </c>
      <c r="J7" s="89">
        <v>46</v>
      </c>
    </row>
    <row r="8" spans="2:10" ht="13.5" customHeight="1">
      <c r="B8" s="20" t="s">
        <v>173</v>
      </c>
      <c r="C8" s="28">
        <f>SUM(C3:C7)</f>
        <v>25000</v>
      </c>
      <c r="D8" s="82"/>
      <c r="E8" s="25" t="s">
        <v>145</v>
      </c>
      <c r="F8" s="119">
        <v>0</v>
      </c>
      <c r="G8" s="89">
        <v>23</v>
      </c>
      <c r="H8" s="26" t="s">
        <v>76</v>
      </c>
      <c r="I8" s="119">
        <v>0</v>
      </c>
      <c r="J8" s="89">
        <v>47</v>
      </c>
    </row>
    <row r="9" spans="2:10" ht="13.5" customHeight="1">
      <c r="B9" s="20" t="s">
        <v>24</v>
      </c>
      <c r="C9" s="21"/>
      <c r="D9" s="82"/>
      <c r="E9" s="24" t="s">
        <v>25</v>
      </c>
      <c r="F9" s="119">
        <v>0</v>
      </c>
      <c r="G9" s="89">
        <v>24</v>
      </c>
      <c r="H9" s="29" t="s">
        <v>77</v>
      </c>
      <c r="I9" s="119">
        <v>0</v>
      </c>
      <c r="J9" s="89">
        <v>48</v>
      </c>
    </row>
    <row r="10" spans="2:10" ht="13.5" customHeight="1">
      <c r="B10" s="24" t="s">
        <v>26</v>
      </c>
      <c r="C10" s="119">
        <v>0</v>
      </c>
      <c r="D10" s="82">
        <v>6</v>
      </c>
      <c r="E10" s="24" t="s">
        <v>27</v>
      </c>
      <c r="F10" s="119">
        <v>0</v>
      </c>
      <c r="G10" s="89">
        <v>25</v>
      </c>
      <c r="H10" s="29" t="s">
        <v>21</v>
      </c>
      <c r="I10" s="119">
        <v>0</v>
      </c>
      <c r="J10" s="89">
        <v>49</v>
      </c>
    </row>
    <row r="11" spans="2:10" ht="13.5" customHeight="1">
      <c r="B11" s="24" t="s">
        <v>28</v>
      </c>
      <c r="C11" s="119">
        <v>0</v>
      </c>
      <c r="D11" s="82">
        <v>7</v>
      </c>
      <c r="E11" s="25" t="s">
        <v>29</v>
      </c>
      <c r="F11" s="119">
        <v>0</v>
      </c>
      <c r="G11" s="89">
        <v>26</v>
      </c>
      <c r="H11" s="30" t="s">
        <v>78</v>
      </c>
      <c r="I11" s="28">
        <f>SUM(I3:I10)</f>
        <v>0</v>
      </c>
      <c r="J11" s="89"/>
    </row>
    <row r="12" spans="2:7" ht="13.5" customHeight="1">
      <c r="B12" s="24" t="s">
        <v>30</v>
      </c>
      <c r="C12" s="119">
        <v>0</v>
      </c>
      <c r="D12" s="82">
        <v>8</v>
      </c>
      <c r="E12" s="24" t="s">
        <v>31</v>
      </c>
      <c r="F12" s="119">
        <v>0</v>
      </c>
      <c r="G12" s="89">
        <v>27</v>
      </c>
    </row>
    <row r="13" spans="2:7" ht="13.5" customHeight="1">
      <c r="B13" s="24" t="s">
        <v>33</v>
      </c>
      <c r="C13" s="119">
        <v>0</v>
      </c>
      <c r="D13" s="82">
        <v>9</v>
      </c>
      <c r="E13" s="25" t="s">
        <v>34</v>
      </c>
      <c r="F13" s="119">
        <v>0</v>
      </c>
      <c r="G13" s="89">
        <v>28</v>
      </c>
    </row>
    <row r="14" spans="2:7" ht="13.5" customHeight="1">
      <c r="B14" s="24" t="s">
        <v>36</v>
      </c>
      <c r="C14" s="119">
        <v>0</v>
      </c>
      <c r="D14" s="82">
        <v>10</v>
      </c>
      <c r="E14" s="25" t="s">
        <v>37</v>
      </c>
      <c r="F14" s="119">
        <v>0</v>
      </c>
      <c r="G14" s="89">
        <v>29</v>
      </c>
    </row>
    <row r="15" spans="2:7" ht="13.5" customHeight="1">
      <c r="B15" s="24" t="s">
        <v>38</v>
      </c>
      <c r="C15" s="119">
        <v>0</v>
      </c>
      <c r="D15" s="82">
        <v>11</v>
      </c>
      <c r="E15" s="25" t="s">
        <v>39</v>
      </c>
      <c r="F15" s="119">
        <v>0</v>
      </c>
      <c r="G15" s="89">
        <v>30</v>
      </c>
    </row>
    <row r="16" spans="2:7" ht="13.5" customHeight="1">
      <c r="B16" s="24" t="s">
        <v>41</v>
      </c>
      <c r="C16" s="119">
        <v>0</v>
      </c>
      <c r="D16" s="82">
        <v>12</v>
      </c>
      <c r="E16" s="25" t="s">
        <v>42</v>
      </c>
      <c r="F16" s="119">
        <v>0</v>
      </c>
      <c r="G16" s="89">
        <v>31</v>
      </c>
    </row>
    <row r="17" spans="2:7" ht="13.5" customHeight="1">
      <c r="B17" s="20" t="s">
        <v>43</v>
      </c>
      <c r="C17" s="28">
        <f>SUM(C10:C16)</f>
        <v>0</v>
      </c>
      <c r="D17" s="82"/>
      <c r="E17" s="25" t="s">
        <v>189</v>
      </c>
      <c r="F17" s="119">
        <v>0</v>
      </c>
      <c r="G17" s="89">
        <v>32</v>
      </c>
    </row>
    <row r="18" spans="2:7" ht="13.5" customHeight="1">
      <c r="B18" s="20" t="s">
        <v>45</v>
      </c>
      <c r="C18" s="28">
        <f>SUM(C8,-C17)</f>
        <v>25000</v>
      </c>
      <c r="D18" s="82">
        <v>13</v>
      </c>
      <c r="E18" s="25" t="s">
        <v>46</v>
      </c>
      <c r="F18" s="119">
        <v>0</v>
      </c>
      <c r="G18" s="89">
        <v>33</v>
      </c>
    </row>
    <row r="19" spans="2:7" ht="13.5" customHeight="1">
      <c r="B19" s="24"/>
      <c r="C19" s="21"/>
      <c r="D19" s="82"/>
      <c r="E19" s="25" t="s">
        <v>48</v>
      </c>
      <c r="F19" s="119">
        <v>0</v>
      </c>
      <c r="G19" s="89">
        <v>34</v>
      </c>
    </row>
    <row r="20" spans="1:10" s="33" customFormat="1" ht="13.5" customHeight="1">
      <c r="A20" s="102"/>
      <c r="B20" s="20" t="s">
        <v>50</v>
      </c>
      <c r="C20" s="32"/>
      <c r="D20" s="83"/>
      <c r="E20" s="25" t="s">
        <v>51</v>
      </c>
      <c r="F20" s="119">
        <v>0</v>
      </c>
      <c r="G20" s="89">
        <v>35</v>
      </c>
      <c r="J20" s="96"/>
    </row>
    <row r="21" spans="2:7" ht="13.5" customHeight="1">
      <c r="B21" s="24" t="s">
        <v>52</v>
      </c>
      <c r="C21" s="119">
        <v>0</v>
      </c>
      <c r="D21" s="82">
        <v>14</v>
      </c>
      <c r="E21" s="34" t="s">
        <v>53</v>
      </c>
      <c r="F21" s="119">
        <v>0</v>
      </c>
      <c r="G21" s="89">
        <v>36</v>
      </c>
    </row>
    <row r="22" spans="2:7" ht="13.5" customHeight="1">
      <c r="B22" s="24" t="s">
        <v>54</v>
      </c>
      <c r="C22" s="119">
        <v>0</v>
      </c>
      <c r="D22" s="82">
        <v>15</v>
      </c>
      <c r="E22" s="34" t="s">
        <v>55</v>
      </c>
      <c r="F22" s="119">
        <v>0</v>
      </c>
      <c r="G22" s="89">
        <v>37</v>
      </c>
    </row>
    <row r="23" spans="2:7" ht="13.5" customHeight="1">
      <c r="B23" s="24" t="s">
        <v>57</v>
      </c>
      <c r="C23" s="119">
        <v>0</v>
      </c>
      <c r="D23" s="82">
        <v>16</v>
      </c>
      <c r="E23" s="27" t="s">
        <v>58</v>
      </c>
      <c r="F23" s="119">
        <v>0</v>
      </c>
      <c r="G23" s="89">
        <v>38</v>
      </c>
    </row>
    <row r="24" spans="2:7" ht="13.5" customHeight="1">
      <c r="B24" s="24" t="s">
        <v>60</v>
      </c>
      <c r="C24" s="119">
        <v>0</v>
      </c>
      <c r="D24" s="82">
        <v>17</v>
      </c>
      <c r="E24" s="27" t="s">
        <v>61</v>
      </c>
      <c r="F24" s="119">
        <v>0</v>
      </c>
      <c r="G24" s="89">
        <v>39</v>
      </c>
    </row>
    <row r="25" spans="2:7" ht="13.5" customHeight="1">
      <c r="B25" s="20" t="s">
        <v>62</v>
      </c>
      <c r="C25" s="28">
        <f>SUM(C21:C24)</f>
        <v>0</v>
      </c>
      <c r="D25" s="82"/>
      <c r="E25" s="27" t="s">
        <v>63</v>
      </c>
      <c r="F25" s="119">
        <v>0</v>
      </c>
      <c r="G25" s="89">
        <v>40</v>
      </c>
    </row>
    <row r="26" spans="2:7" ht="13.5" customHeight="1">
      <c r="B26" s="24"/>
      <c r="C26" s="21"/>
      <c r="D26" s="82"/>
      <c r="E26" s="27" t="s">
        <v>21</v>
      </c>
      <c r="F26" s="119">
        <v>0</v>
      </c>
      <c r="G26" s="89">
        <v>41</v>
      </c>
    </row>
    <row r="27" spans="2:7" ht="13.5" customHeight="1">
      <c r="B27" s="24"/>
      <c r="C27" s="21"/>
      <c r="D27" s="82"/>
      <c r="E27" s="22" t="s">
        <v>66</v>
      </c>
      <c r="F27" s="28">
        <f>SUM(F3:F26)</f>
        <v>0</v>
      </c>
      <c r="G27" s="89"/>
    </row>
    <row r="28" spans="2:7" ht="13.5" customHeight="1" thickBot="1">
      <c r="B28" s="24"/>
      <c r="C28" s="32"/>
      <c r="D28" s="83"/>
      <c r="E28" s="24"/>
      <c r="F28" s="21"/>
      <c r="G28" s="89"/>
    </row>
    <row r="29" spans="2:10" ht="13.5" customHeight="1" thickTop="1">
      <c r="B29" s="35"/>
      <c r="C29" s="36"/>
      <c r="D29" s="84"/>
      <c r="E29" s="35"/>
      <c r="F29" s="36"/>
      <c r="G29" s="90"/>
      <c r="H29" s="35"/>
      <c r="I29" s="37"/>
      <c r="J29" s="97"/>
    </row>
    <row r="30" spans="1:10" s="38" customFormat="1" ht="12.75">
      <c r="A30" s="101"/>
      <c r="B30" s="20" t="s">
        <v>81</v>
      </c>
      <c r="C30" s="32"/>
      <c r="D30" s="82"/>
      <c r="F30" s="39"/>
      <c r="G30" s="91"/>
      <c r="I30" s="40"/>
      <c r="J30" s="95"/>
    </row>
    <row r="31" spans="2:4" ht="13.5" customHeight="1">
      <c r="B31" s="24" t="s">
        <v>45</v>
      </c>
      <c r="C31" s="41">
        <f>C18</f>
        <v>25000</v>
      </c>
      <c r="D31" s="82"/>
    </row>
    <row r="32" spans="2:4" ht="13.5" customHeight="1">
      <c r="B32" s="24" t="s">
        <v>84</v>
      </c>
      <c r="C32" s="41">
        <f>C25</f>
        <v>0</v>
      </c>
      <c r="D32" s="82"/>
    </row>
    <row r="33" spans="2:4" ht="13.5" customHeight="1">
      <c r="B33" s="25" t="s">
        <v>85</v>
      </c>
      <c r="C33" s="41">
        <f>-F27</f>
        <v>0</v>
      </c>
      <c r="D33" s="82"/>
    </row>
    <row r="34" spans="2:4" ht="13.5" customHeight="1">
      <c r="B34" s="24" t="s">
        <v>86</v>
      </c>
      <c r="C34" s="41">
        <f>-I11</f>
        <v>0</v>
      </c>
      <c r="D34" s="82"/>
    </row>
    <row r="35" spans="1:10" s="19" customFormat="1" ht="15.75">
      <c r="A35" s="100"/>
      <c r="B35" s="43" t="s">
        <v>87</v>
      </c>
      <c r="C35" s="44">
        <f>SUM(C31:C34)</f>
        <v>25000</v>
      </c>
      <c r="D35" s="85"/>
      <c r="F35" s="45"/>
      <c r="G35" s="92"/>
      <c r="I35" s="46"/>
      <c r="J35" s="98"/>
    </row>
    <row r="36" ht="13.5" customHeight="1" thickBot="1">
      <c r="D36" s="82"/>
    </row>
    <row r="37" spans="2:10" ht="13.5" customHeight="1" thickTop="1">
      <c r="B37" s="35"/>
      <c r="C37" s="36"/>
      <c r="D37" s="84"/>
      <c r="E37" s="35"/>
      <c r="F37" s="36"/>
      <c r="G37" s="90"/>
      <c r="H37" s="35"/>
      <c r="I37" s="37"/>
      <c r="J37" s="97"/>
    </row>
    <row r="38" spans="1:10" s="38" customFormat="1" ht="13.5" customHeight="1">
      <c r="A38" s="101"/>
      <c r="B38" s="33" t="s">
        <v>88</v>
      </c>
      <c r="C38" s="39"/>
      <c r="D38" s="83"/>
      <c r="E38" s="34"/>
      <c r="F38" s="47"/>
      <c r="G38" s="89"/>
      <c r="I38" s="40"/>
      <c r="J38" s="95"/>
    </row>
    <row r="39" spans="1:7" ht="13.5" customHeight="1">
      <c r="A39" s="103">
        <v>1</v>
      </c>
      <c r="B39" s="23" t="s">
        <v>146</v>
      </c>
      <c r="D39" s="83"/>
      <c r="E39" s="24"/>
      <c r="F39" s="21"/>
      <c r="G39" s="89"/>
    </row>
    <row r="40" spans="1:7" ht="13.5" customHeight="1">
      <c r="A40" s="103">
        <v>2</v>
      </c>
      <c r="B40" s="23" t="s">
        <v>147</v>
      </c>
      <c r="D40" s="83"/>
      <c r="E40" s="24"/>
      <c r="F40" s="21"/>
      <c r="G40" s="89"/>
    </row>
    <row r="41" spans="1:7" ht="13.5" customHeight="1">
      <c r="A41" s="103">
        <v>3</v>
      </c>
      <c r="B41" s="23" t="s">
        <v>18</v>
      </c>
      <c r="D41" s="83"/>
      <c r="E41" s="20"/>
      <c r="F41" s="32"/>
      <c r="G41" s="89"/>
    </row>
    <row r="42" spans="1:7" ht="13.5" customHeight="1">
      <c r="A42" s="103">
        <v>4</v>
      </c>
      <c r="B42" s="23" t="s">
        <v>148</v>
      </c>
      <c r="D42" s="82"/>
      <c r="E42" s="24"/>
      <c r="F42" s="21"/>
      <c r="G42" s="89"/>
    </row>
    <row r="43" spans="1:7" ht="13.5" customHeight="1">
      <c r="A43" s="103">
        <v>5</v>
      </c>
      <c r="B43" s="23" t="s">
        <v>23</v>
      </c>
      <c r="D43" s="82"/>
      <c r="E43" s="24"/>
      <c r="F43" s="21"/>
      <c r="G43" s="89"/>
    </row>
    <row r="44" spans="1:7" ht="13.5" customHeight="1">
      <c r="A44" s="103">
        <v>6</v>
      </c>
      <c r="B44" s="23" t="s">
        <v>149</v>
      </c>
      <c r="D44" s="82"/>
      <c r="E44" s="24"/>
      <c r="F44" s="21"/>
      <c r="G44" s="89"/>
    </row>
    <row r="45" spans="1:7" ht="13.5" customHeight="1">
      <c r="A45" s="103">
        <v>7</v>
      </c>
      <c r="B45" s="23" t="s">
        <v>150</v>
      </c>
      <c r="D45" s="82"/>
      <c r="E45" s="24"/>
      <c r="F45" s="21"/>
      <c r="G45" s="89"/>
    </row>
    <row r="46" spans="1:7" ht="13.5" customHeight="1">
      <c r="A46" s="103">
        <v>8</v>
      </c>
      <c r="B46" s="23" t="s">
        <v>151</v>
      </c>
      <c r="D46" s="82"/>
      <c r="E46" s="24"/>
      <c r="F46" s="21"/>
      <c r="G46" s="89"/>
    </row>
    <row r="47" spans="1:10" s="48" customFormat="1" ht="13.5" customHeight="1">
      <c r="A47" s="103">
        <v>9</v>
      </c>
      <c r="B47" s="23" t="s">
        <v>152</v>
      </c>
      <c r="D47" s="83"/>
      <c r="E47" s="49"/>
      <c r="F47" s="50"/>
      <c r="G47" s="93"/>
      <c r="J47" s="96"/>
    </row>
    <row r="48" spans="1:10" s="48" customFormat="1" ht="13.5" customHeight="1">
      <c r="A48" s="103">
        <v>10</v>
      </c>
      <c r="B48" s="23" t="s">
        <v>32</v>
      </c>
      <c r="D48" s="83"/>
      <c r="E48" s="49"/>
      <c r="F48" s="50"/>
      <c r="G48" s="93"/>
      <c r="J48" s="96"/>
    </row>
    <row r="49" spans="1:10" s="48" customFormat="1" ht="13.5" customHeight="1">
      <c r="A49" s="103">
        <v>11</v>
      </c>
      <c r="B49" s="23" t="s">
        <v>35</v>
      </c>
      <c r="D49" s="83"/>
      <c r="E49" s="49"/>
      <c r="F49" s="50"/>
      <c r="G49" s="93"/>
      <c r="J49" s="96"/>
    </row>
    <row r="50" spans="1:7" ht="13.5" customHeight="1">
      <c r="A50" s="103">
        <v>12</v>
      </c>
      <c r="B50" s="23" t="s">
        <v>153</v>
      </c>
      <c r="D50" s="82"/>
      <c r="E50" s="24"/>
      <c r="F50" s="21"/>
      <c r="G50" s="89"/>
    </row>
    <row r="51" spans="1:7" ht="13.5" customHeight="1">
      <c r="A51" s="103">
        <v>13</v>
      </c>
      <c r="B51" s="23" t="s">
        <v>40</v>
      </c>
      <c r="D51" s="86"/>
      <c r="E51" s="51"/>
      <c r="F51" s="51"/>
      <c r="G51" s="86"/>
    </row>
    <row r="52" spans="1:7" ht="13.5" customHeight="1">
      <c r="A52" s="103">
        <v>14</v>
      </c>
      <c r="B52" s="23" t="s">
        <v>154</v>
      </c>
      <c r="D52" s="82"/>
      <c r="E52" s="24"/>
      <c r="F52" s="21"/>
      <c r="G52" s="89"/>
    </row>
    <row r="53" spans="1:2" ht="13.5" customHeight="1">
      <c r="A53" s="103">
        <v>15</v>
      </c>
      <c r="B53" s="23" t="s">
        <v>44</v>
      </c>
    </row>
    <row r="54" spans="1:2" ht="13.5" customHeight="1">
      <c r="A54" s="103">
        <v>16</v>
      </c>
      <c r="B54" s="23" t="s">
        <v>47</v>
      </c>
    </row>
    <row r="55" spans="1:2" ht="13.5" customHeight="1">
      <c r="A55" s="103">
        <v>17</v>
      </c>
      <c r="B55" s="23" t="s">
        <v>49</v>
      </c>
    </row>
    <row r="56" spans="1:2" ht="13.5" customHeight="1">
      <c r="A56" s="103">
        <v>18</v>
      </c>
      <c r="B56" s="38" t="s">
        <v>155</v>
      </c>
    </row>
    <row r="57" spans="1:2" ht="13.5" customHeight="1">
      <c r="A57" s="103">
        <v>19</v>
      </c>
      <c r="B57" s="38" t="s">
        <v>156</v>
      </c>
    </row>
    <row r="58" spans="1:2" ht="13.5" customHeight="1">
      <c r="A58" s="103">
        <v>20</v>
      </c>
      <c r="B58" s="38" t="s">
        <v>56</v>
      </c>
    </row>
    <row r="59" spans="1:2" ht="13.5" customHeight="1">
      <c r="A59" s="103">
        <v>21</v>
      </c>
      <c r="B59" s="38" t="s">
        <v>59</v>
      </c>
    </row>
    <row r="60" spans="1:2" ht="13.5" customHeight="1">
      <c r="A60" s="103">
        <v>22</v>
      </c>
      <c r="B60" s="38" t="s">
        <v>157</v>
      </c>
    </row>
    <row r="61" spans="1:2" ht="13.5" customHeight="1">
      <c r="A61" s="103">
        <v>23</v>
      </c>
      <c r="B61" s="38" t="s">
        <v>64</v>
      </c>
    </row>
    <row r="62" spans="1:2" ht="13.5" customHeight="1">
      <c r="A62" s="103">
        <v>24</v>
      </c>
      <c r="B62" s="38" t="s">
        <v>65</v>
      </c>
    </row>
    <row r="63" spans="1:2" ht="13.5" customHeight="1">
      <c r="A63" s="103">
        <v>25</v>
      </c>
      <c r="B63" s="38" t="s">
        <v>67</v>
      </c>
    </row>
    <row r="64" spans="1:2" ht="13.5" customHeight="1">
      <c r="A64" s="103">
        <v>26</v>
      </c>
      <c r="B64" s="38" t="s">
        <v>158</v>
      </c>
    </row>
    <row r="65" spans="1:2" ht="13.5" customHeight="1">
      <c r="A65" s="103">
        <v>27</v>
      </c>
      <c r="B65" s="38" t="s">
        <v>69</v>
      </c>
    </row>
    <row r="66" spans="1:2" ht="13.5" customHeight="1">
      <c r="A66" s="103">
        <v>28</v>
      </c>
      <c r="B66" s="38" t="s">
        <v>71</v>
      </c>
    </row>
    <row r="67" spans="1:2" ht="13.5" customHeight="1">
      <c r="A67" s="103">
        <v>29</v>
      </c>
      <c r="B67" s="38" t="s">
        <v>159</v>
      </c>
    </row>
    <row r="68" spans="1:2" ht="13.5" customHeight="1">
      <c r="A68" s="103">
        <v>30</v>
      </c>
      <c r="B68" s="38" t="s">
        <v>160</v>
      </c>
    </row>
    <row r="69" spans="1:2" ht="13.5" customHeight="1">
      <c r="A69" s="103">
        <v>31</v>
      </c>
      <c r="B69" s="38" t="s">
        <v>138</v>
      </c>
    </row>
    <row r="70" spans="1:2" ht="13.5" customHeight="1">
      <c r="A70" s="103">
        <v>32</v>
      </c>
      <c r="B70" s="38" t="s">
        <v>139</v>
      </c>
    </row>
    <row r="71" spans="1:2" ht="13.5" customHeight="1">
      <c r="A71" s="103">
        <v>33</v>
      </c>
      <c r="B71" s="38" t="s">
        <v>161</v>
      </c>
    </row>
    <row r="72" spans="1:2" ht="13.5" customHeight="1">
      <c r="A72" s="103">
        <v>34</v>
      </c>
      <c r="B72" s="38" t="s">
        <v>140</v>
      </c>
    </row>
    <row r="73" spans="1:2" ht="13.5" customHeight="1">
      <c r="A73" s="103">
        <v>35</v>
      </c>
      <c r="B73" s="38" t="s">
        <v>162</v>
      </c>
    </row>
    <row r="74" spans="1:2" ht="13.5" customHeight="1">
      <c r="A74" s="103">
        <v>36</v>
      </c>
      <c r="B74" s="38" t="s">
        <v>79</v>
      </c>
    </row>
    <row r="75" spans="1:2" ht="13.5" customHeight="1">
      <c r="A75" s="103">
        <v>37</v>
      </c>
      <c r="B75" s="38" t="s">
        <v>80</v>
      </c>
    </row>
    <row r="76" spans="1:2" ht="13.5" customHeight="1">
      <c r="A76" s="103">
        <v>38</v>
      </c>
      <c r="B76" s="38" t="s">
        <v>82</v>
      </c>
    </row>
    <row r="77" spans="1:2" ht="13.5" customHeight="1">
      <c r="A77" s="103">
        <v>39</v>
      </c>
      <c r="B77" s="38" t="s">
        <v>83</v>
      </c>
    </row>
    <row r="78" spans="1:2" ht="13.5" customHeight="1">
      <c r="A78" s="103">
        <v>40</v>
      </c>
      <c r="B78" s="38" t="s">
        <v>163</v>
      </c>
    </row>
    <row r="79" spans="1:2" ht="13.5" customHeight="1">
      <c r="A79" s="103">
        <v>41</v>
      </c>
      <c r="B79" s="38" t="s">
        <v>164</v>
      </c>
    </row>
    <row r="80" spans="1:2" ht="13.5" customHeight="1">
      <c r="A80" s="103">
        <v>42</v>
      </c>
      <c r="B80" s="38" t="s">
        <v>165</v>
      </c>
    </row>
    <row r="81" spans="1:2" ht="13.5" customHeight="1">
      <c r="A81" s="103">
        <v>43</v>
      </c>
      <c r="B81" s="38" t="s">
        <v>166</v>
      </c>
    </row>
    <row r="82" spans="1:2" ht="13.5" customHeight="1">
      <c r="A82" s="103">
        <v>44</v>
      </c>
      <c r="B82" s="38" t="s">
        <v>167</v>
      </c>
    </row>
    <row r="83" spans="1:2" ht="13.5" customHeight="1">
      <c r="A83" s="103">
        <v>45</v>
      </c>
      <c r="B83" s="38" t="s">
        <v>168</v>
      </c>
    </row>
    <row r="84" spans="1:2" ht="13.5" customHeight="1">
      <c r="A84" s="103">
        <v>46</v>
      </c>
      <c r="B84" s="38" t="s">
        <v>169</v>
      </c>
    </row>
    <row r="85" spans="1:2" ht="13.5" customHeight="1">
      <c r="A85" s="103">
        <v>47</v>
      </c>
      <c r="B85" s="38" t="s">
        <v>170</v>
      </c>
    </row>
    <row r="86" spans="1:2" ht="13.5" customHeight="1">
      <c r="A86" s="103">
        <v>48</v>
      </c>
      <c r="B86" s="38" t="s">
        <v>171</v>
      </c>
    </row>
    <row r="87" spans="1:2" ht="13.5" customHeight="1">
      <c r="A87" s="103">
        <v>49</v>
      </c>
      <c r="B87" s="52" t="s">
        <v>172</v>
      </c>
    </row>
    <row r="89" spans="1:10" s="53" customFormat="1" ht="14.25">
      <c r="A89" s="104"/>
      <c r="B89" s="11"/>
      <c r="C89" s="54"/>
      <c r="D89" s="88"/>
      <c r="F89" s="54"/>
      <c r="G89" s="94"/>
      <c r="I89" s="55"/>
      <c r="J89" s="99"/>
    </row>
  </sheetData>
  <sheetProtection formatCells="0" formatColumns="0" formatRows="0" insertColumns="0" insertRows="0" insertHyperlinks="0" deleteColumns="0" deleteRows="0" sort="0" autoFilter="0" pivotTables="0"/>
  <dataValidations count="1">
    <dataValidation type="decimal" operator="greaterThan" allowBlank="1" showInputMessage="1" showErrorMessage="1" errorTitle="Invalid Input" error="All income and expenses must be entered as positive values." sqref="C3:C7 I3:I10 F3:F26 C21:C24 C10:C16">
      <formula1>0</formula1>
    </dataValidation>
  </dataValidations>
  <printOptions/>
  <pageMargins left="0.75" right="0.75" top="1" bottom="1" header="0.5" footer="0.5"/>
  <pageSetup fitToHeight="2" fitToWidth="1" horizontalDpi="600" verticalDpi="600" orientation="landscape" scale="71" r:id="rId2"/>
  <headerFooter alignWithMargins="0">
    <oddFooter>&amp;CPage &amp;P of &amp;N</oddFooter>
  </headerFooter>
  <rowBreaks count="1" manualBreakCount="1">
    <brk id="37" max="255"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K33"/>
  <sheetViews>
    <sheetView zoomScale="95" zoomScaleNormal="95" zoomScalePageLayoutView="0" workbookViewId="0" topLeftCell="A1">
      <pane ySplit="3" topLeftCell="A4" activePane="bottomLeft" state="frozen"/>
      <selection pane="topLeft" activeCell="A1" sqref="A1"/>
      <selection pane="bottomLeft" activeCell="A3" sqref="A3"/>
    </sheetView>
  </sheetViews>
  <sheetFormatPr defaultColWidth="9.140625" defaultRowHeight="15" customHeight="1"/>
  <cols>
    <col min="1" max="1" width="15.7109375" style="78" customWidth="1"/>
    <col min="2" max="6" width="15.7109375" style="14" customWidth="1"/>
    <col min="7" max="7" width="15.7109375" style="61" customWidth="1"/>
    <col min="8" max="8" width="5.7109375" style="12" customWidth="1"/>
    <col min="9" max="9" width="15.7109375" style="56" customWidth="1"/>
    <col min="10" max="10" width="15.7109375" style="57" customWidth="1"/>
    <col min="11" max="11" width="15.7109375" style="56" customWidth="1"/>
    <col min="12" max="18" width="15.7109375" style="12" customWidth="1"/>
    <col min="19" max="16384" width="9.140625" style="12" customWidth="1"/>
  </cols>
  <sheetData>
    <row r="1" spans="1:7" ht="15.75">
      <c r="A1" s="123" t="s">
        <v>115</v>
      </c>
      <c r="G1" s="79"/>
    </row>
    <row r="2" ht="15" customHeight="1">
      <c r="A2" s="120" t="s">
        <v>212</v>
      </c>
    </row>
    <row r="3" spans="1:11" s="58" customFormat="1" ht="30">
      <c r="A3" s="106" t="s">
        <v>190</v>
      </c>
      <c r="B3" s="107" t="s">
        <v>175</v>
      </c>
      <c r="C3" s="107" t="s">
        <v>2</v>
      </c>
      <c r="D3" s="107" t="s">
        <v>177</v>
      </c>
      <c r="E3" s="107" t="s">
        <v>178</v>
      </c>
      <c r="F3" s="107" t="s">
        <v>176</v>
      </c>
      <c r="G3" s="108" t="s">
        <v>3</v>
      </c>
      <c r="I3" s="59" t="s">
        <v>129</v>
      </c>
      <c r="J3" s="60" t="s">
        <v>130</v>
      </c>
      <c r="K3" s="59" t="s">
        <v>131</v>
      </c>
    </row>
    <row r="4" spans="1:11" ht="15" customHeight="1">
      <c r="A4" s="78">
        <v>1</v>
      </c>
      <c r="B4" s="14">
        <f>BondCalculator!$B$4</f>
        <v>2500000</v>
      </c>
      <c r="C4" s="14">
        <f>IF(B4=0,0,BondCalculator!$B$12*12)</f>
        <v>237112.7954753029</v>
      </c>
      <c r="D4" s="14">
        <f ca="1">SUM(OFFSET(MonthAmort!$E$3,1,0,12,1))</f>
        <v>179355.82943358485</v>
      </c>
      <c r="E4" s="14">
        <f ca="1">SUM(OFFSET(MonthAmort!$F$3,1,0,12,1))</f>
        <v>57756.96604171806</v>
      </c>
      <c r="F4" s="14">
        <f>IF(ROUND(B4-E4,2)=0,0,B4-E4)</f>
        <v>2442243.033958282</v>
      </c>
      <c r="G4" s="61">
        <f>IF($B$4=0,0,F4/$B$4)</f>
        <v>0.9768972135833127</v>
      </c>
      <c r="I4" s="62">
        <f>SUM($D$4:D4)</f>
        <v>179355.82943358485</v>
      </c>
      <c r="J4" s="57">
        <f ca="1">SUM(OFFSET(MonthAmort!$L$3,1,0,A4*12,1))</f>
        <v>178542.04821824882</v>
      </c>
      <c r="K4" s="62">
        <f>SUM($E$4:E4)</f>
        <v>57756.96604171806</v>
      </c>
    </row>
    <row r="5" spans="1:11" ht="15" customHeight="1">
      <c r="A5" s="78">
        <v>2</v>
      </c>
      <c r="B5" s="14">
        <f>F4</f>
        <v>2442243.033958282</v>
      </c>
      <c r="C5" s="14">
        <f>IF(B5=0,0,BondCalculator!$B$12*12)</f>
        <v>237112.7954753029</v>
      </c>
      <c r="D5" s="14">
        <f ca="1">SUM(OFFSET(MonthAmort!$E$3,(12*A4)+1,0,12,1))</f>
        <v>175026.4655948762</v>
      </c>
      <c r="E5" s="14">
        <f ca="1">SUM(OFFSET(MonthAmort!$F$3,(12*A4)+1,0,12,1))</f>
        <v>62086.3298804267</v>
      </c>
      <c r="F5" s="14">
        <f aca="true" t="shared" si="0" ref="F5:F33">IF(ROUND(B5-E5,2)=0,0,B5-E5)</f>
        <v>2380156.704077855</v>
      </c>
      <c r="G5" s="61">
        <f aca="true" t="shared" si="1" ref="G5:G33">IF($B$4=0,0,F5/$B$4)</f>
        <v>0.952062681631142</v>
      </c>
      <c r="I5" s="62">
        <f>SUM($D$4:D5)</f>
        <v>354382.295028461</v>
      </c>
      <c r="J5" s="57">
        <f ca="1">SUM(OFFSET(MonthAmort!$L$3,1,0,A5*12,1))</f>
        <v>350894.73380530206</v>
      </c>
      <c r="K5" s="62">
        <f>SUM($E$4:E5)</f>
        <v>119843.29592214475</v>
      </c>
    </row>
    <row r="6" spans="1:11" ht="15" customHeight="1">
      <c r="A6" s="78">
        <v>3</v>
      </c>
      <c r="B6" s="14">
        <f aca="true" t="shared" si="2" ref="B6:B33">F5</f>
        <v>2380156.704077855</v>
      </c>
      <c r="C6" s="14">
        <f>IF(B6=0,0,BondCalculator!$B$12*12)</f>
        <v>237112.7954753029</v>
      </c>
      <c r="D6" s="14">
        <f ca="1">SUM(OFFSET(MonthAmort!$E$3,(12*A5)+1,0,12,1))</f>
        <v>170372.58001390047</v>
      </c>
      <c r="E6" s="14">
        <f ca="1">SUM(OFFSET(MonthAmort!$F$3,(12*A5)+1,0,12,1))</f>
        <v>66740.21546140248</v>
      </c>
      <c r="F6" s="14">
        <f t="shared" si="0"/>
        <v>2313416.4886164526</v>
      </c>
      <c r="G6" s="61">
        <f t="shared" si="1"/>
        <v>0.9253665954465811</v>
      </c>
      <c r="I6" s="62">
        <f>SUM($D$4:D6)</f>
        <v>524754.8750423614</v>
      </c>
      <c r="J6" s="57">
        <f ca="1">SUM(OFFSET(MonthAmort!$L$3,1,0,A6*12,1))</f>
        <v>516594.1126762022</v>
      </c>
      <c r="K6" s="62">
        <f>SUM($E$4:E6)</f>
        <v>186583.51138354721</v>
      </c>
    </row>
    <row r="7" spans="1:11" ht="15" customHeight="1">
      <c r="A7" s="78">
        <v>4</v>
      </c>
      <c r="B7" s="14">
        <f t="shared" si="2"/>
        <v>2313416.4886164526</v>
      </c>
      <c r="C7" s="14">
        <f>IF(B7=0,0,BondCalculator!$B$12*12)</f>
        <v>237112.7954753029</v>
      </c>
      <c r="D7" s="14">
        <f ca="1">SUM(OFFSET(MonthAmort!$E$3,(12*A6)+1,0,12,1))</f>
        <v>165369.84709338116</v>
      </c>
      <c r="E7" s="14">
        <f ca="1">SUM(OFFSET(MonthAmort!$F$3,(12*A6)+1,0,12,1))</f>
        <v>71742.94838192179</v>
      </c>
      <c r="F7" s="14">
        <f t="shared" si="0"/>
        <v>2241673.540234531</v>
      </c>
      <c r="G7" s="61">
        <f t="shared" si="1"/>
        <v>0.8966694160938123</v>
      </c>
      <c r="I7" s="62">
        <f>SUM($D$4:D7)</f>
        <v>690124.7221357427</v>
      </c>
      <c r="J7" s="57">
        <f ca="1">SUM(OFFSET(MonthAmort!$L$3,1,0,A7*12,1))</f>
        <v>675141.4642872844</v>
      </c>
      <c r="K7" s="62">
        <f>SUM($E$4:E7)</f>
        <v>258326.45976546902</v>
      </c>
    </row>
    <row r="8" spans="1:11" ht="15" customHeight="1">
      <c r="A8" s="78">
        <v>5</v>
      </c>
      <c r="B8" s="14">
        <f t="shared" si="2"/>
        <v>2241673.540234531</v>
      </c>
      <c r="C8" s="14">
        <f>IF(B8=0,0,BondCalculator!$B$12*12)</f>
        <v>237112.7954753029</v>
      </c>
      <c r="D8" s="14">
        <f ca="1">SUM(OFFSET(MonthAmort!$E$3,(12*A7)+1,0,12,1))</f>
        <v>159992.1178306861</v>
      </c>
      <c r="E8" s="14">
        <f ca="1">SUM(OFFSET(MonthAmort!$F$3,(12*A7)+1,0,12,1))</f>
        <v>77120.67764461681</v>
      </c>
      <c r="F8" s="14">
        <f t="shared" si="0"/>
        <v>2164552.862589914</v>
      </c>
      <c r="G8" s="61">
        <f t="shared" si="1"/>
        <v>0.8658211450359655</v>
      </c>
      <c r="I8" s="62">
        <f>SUM($D$4:D8)</f>
        <v>850116.8399664287</v>
      </c>
      <c r="J8" s="57">
        <f ca="1">SUM(OFFSET(MonthAmort!$L$3,1,0,A8*12,1))</f>
        <v>826000.6848520419</v>
      </c>
      <c r="K8" s="62">
        <f>SUM($E$4:E8)</f>
        <v>335447.1374100858</v>
      </c>
    </row>
    <row r="9" spans="1:11" ht="15" customHeight="1">
      <c r="A9" s="78">
        <v>6</v>
      </c>
      <c r="B9" s="14">
        <f t="shared" si="2"/>
        <v>2164552.862589914</v>
      </c>
      <c r="C9" s="14">
        <f>IF(B9=0,0,BondCalculator!$B$12*12)</f>
        <v>237112.7954753029</v>
      </c>
      <c r="D9" s="14">
        <f ca="1">SUM(OFFSET(MonthAmort!$E$3,(12*A8)+1,0,12,1))</f>
        <v>154211.2831384666</v>
      </c>
      <c r="E9" s="14">
        <f ca="1">SUM(OFFSET(MonthAmort!$F$3,(12*A8)+1,0,12,1))</f>
        <v>82901.51233683633</v>
      </c>
      <c r="F9" s="14">
        <f t="shared" si="0"/>
        <v>2081651.3502530775</v>
      </c>
      <c r="G9" s="61">
        <f t="shared" si="1"/>
        <v>0.832660540101231</v>
      </c>
      <c r="I9" s="62">
        <f>SUM($D$4:D9)</f>
        <v>1004328.1231048952</v>
      </c>
      <c r="J9" s="57">
        <f ca="1">SUM(OFFSET(MonthAmort!$L$3,1,0,A9*12,1))</f>
        <v>968595.4851568899</v>
      </c>
      <c r="K9" s="62">
        <f>SUM($E$4:E9)</f>
        <v>418348.64974692214</v>
      </c>
    </row>
    <row r="10" spans="1:11" ht="15" customHeight="1">
      <c r="A10" s="78">
        <v>7</v>
      </c>
      <c r="B10" s="14">
        <f t="shared" si="2"/>
        <v>2081651.3502530775</v>
      </c>
      <c r="C10" s="14">
        <f>IF(B10=0,0,BondCalculator!$B$12*12)</f>
        <v>237112.7954753029</v>
      </c>
      <c r="D10" s="14">
        <f ca="1">SUM(OFFSET(MonthAmort!$E$3,(12*A9)+1,0,12,1))</f>
        <v>147997.12692004413</v>
      </c>
      <c r="E10" s="14">
        <f ca="1">SUM(OFFSET(MonthAmort!$F$3,(12*A9)+1,0,12,1))</f>
        <v>89115.66855525879</v>
      </c>
      <c r="F10" s="14">
        <f t="shared" si="0"/>
        <v>1992535.6816978187</v>
      </c>
      <c r="G10" s="61">
        <f t="shared" si="1"/>
        <v>0.7970142726791275</v>
      </c>
      <c r="I10" s="62">
        <f>SUM($D$4:D10)</f>
        <v>1152325.2500249394</v>
      </c>
      <c r="J10" s="57">
        <f ca="1">SUM(OFFSET(MonthAmort!$L$3,1,0,A10*12,1))</f>
        <v>1102306.3783299713</v>
      </c>
      <c r="K10" s="62">
        <f>SUM($E$4:E10)</f>
        <v>507464.3183021809</v>
      </c>
    </row>
    <row r="11" spans="1:11" ht="15" customHeight="1">
      <c r="A11" s="78">
        <v>8</v>
      </c>
      <c r="B11" s="14">
        <f t="shared" si="2"/>
        <v>1992535.6816978187</v>
      </c>
      <c r="C11" s="14">
        <f>IF(B11=0,0,BondCalculator!$B$12*12)</f>
        <v>237112.7954753029</v>
      </c>
      <c r="D11" s="14">
        <f ca="1">SUM(OFFSET(MonthAmort!$E$3,(12*A10)+1,0,12,1))</f>
        <v>141317.1681315786</v>
      </c>
      <c r="E11" s="14">
        <f ca="1">SUM(OFFSET(MonthAmort!$F$3,(12*A10)+1,0,12,1))</f>
        <v>95795.62734372429</v>
      </c>
      <c r="F11" s="14">
        <f t="shared" si="0"/>
        <v>1896740.0543540944</v>
      </c>
      <c r="G11" s="61">
        <f t="shared" si="1"/>
        <v>0.7586960217416377</v>
      </c>
      <c r="I11" s="62">
        <f>SUM($D$4:D11)</f>
        <v>1293642.4181565181</v>
      </c>
      <c r="J11" s="57">
        <f ca="1">SUM(OFFSET(MonthAmort!$L$3,1,0,A11*12,1))</f>
        <v>1226467.44181824</v>
      </c>
      <c r="K11" s="62">
        <f>SUM($E$4:E11)</f>
        <v>603259.9456459052</v>
      </c>
    </row>
    <row r="12" spans="1:11" ht="15" customHeight="1">
      <c r="A12" s="78">
        <v>9</v>
      </c>
      <c r="B12" s="14">
        <f t="shared" si="2"/>
        <v>1896740.0543540944</v>
      </c>
      <c r="C12" s="14">
        <f>IF(B12=0,0,BondCalculator!$B$12*12)</f>
        <v>237112.7954753029</v>
      </c>
      <c r="D12" s="14">
        <f ca="1">SUM(OFFSET(MonthAmort!$E$3,(12*A11)+1,0,12,1))</f>
        <v>134136.4910054851</v>
      </c>
      <c r="E12" s="14">
        <f ca="1">SUM(OFFSET(MonthAmort!$F$3,(12*A11)+1,0,12,1))</f>
        <v>102976.30446981786</v>
      </c>
      <c r="F12" s="14">
        <f t="shared" si="0"/>
        <v>1793763.7498842767</v>
      </c>
      <c r="G12" s="61">
        <f t="shared" si="1"/>
        <v>0.7175054999537107</v>
      </c>
      <c r="I12" s="62">
        <f>SUM($D$4:D12)</f>
        <v>1427778.9091620033</v>
      </c>
      <c r="J12" s="57">
        <f ca="1">SUM(OFFSET(MonthAmort!$L$3,1,0,A12*12,1))</f>
        <v>1340362.8366478588</v>
      </c>
      <c r="K12" s="62">
        <f>SUM($E$4:E12)</f>
        <v>706236.2501157231</v>
      </c>
    </row>
    <row r="13" spans="1:11" ht="15" customHeight="1">
      <c r="A13" s="78">
        <v>10</v>
      </c>
      <c r="B13" s="14">
        <f t="shared" si="2"/>
        <v>1793763.7498842767</v>
      </c>
      <c r="C13" s="14">
        <f>IF(B13=0,0,BondCalculator!$B$12*12)</f>
        <v>237112.7954753029</v>
      </c>
      <c r="D13" s="14">
        <f ca="1">SUM(OFFSET(MonthAmort!$E$3,(12*A12)+1,0,12,1))</f>
        <v>126417.5625476873</v>
      </c>
      <c r="E13" s="14">
        <f ca="1">SUM(OFFSET(MonthAmort!$F$3,(12*A12)+1,0,12,1))</f>
        <v>110695.23292761564</v>
      </c>
      <c r="F13" s="14">
        <f t="shared" si="0"/>
        <v>1683068.516956661</v>
      </c>
      <c r="G13" s="61">
        <f t="shared" si="1"/>
        <v>0.6732274067826644</v>
      </c>
      <c r="I13" s="62">
        <f>SUM($D$4:D13)</f>
        <v>1554196.4717096905</v>
      </c>
      <c r="J13" s="57">
        <f ca="1">SUM(OFFSET(MonthAmort!$L$3,1,0,A13*12,1))</f>
        <v>1443223.065774284</v>
      </c>
      <c r="K13" s="62">
        <f>SUM($E$4:E13)</f>
        <v>816931.4830433388</v>
      </c>
    </row>
    <row r="14" spans="1:11" ht="15" customHeight="1">
      <c r="A14" s="78">
        <v>11</v>
      </c>
      <c r="B14" s="14">
        <f t="shared" si="2"/>
        <v>1683068.516956661</v>
      </c>
      <c r="C14" s="14">
        <f>IF(B14=0,0,BondCalculator!$B$12*12)</f>
        <v>237112.7954753029</v>
      </c>
      <c r="D14" s="14">
        <f ca="1">SUM(OFFSET(MonthAmort!$E$3,(12*A13)+1,0,12,1))</f>
        <v>118120.0363547759</v>
      </c>
      <c r="E14" s="14">
        <f ca="1">SUM(OFFSET(MonthAmort!$F$3,(12*A13)+1,0,12,1))</f>
        <v>118992.75912052701</v>
      </c>
      <c r="F14" s="14">
        <f t="shared" si="0"/>
        <v>1564075.757836134</v>
      </c>
      <c r="G14" s="61">
        <f t="shared" si="1"/>
        <v>0.6256303031344536</v>
      </c>
      <c r="I14" s="62">
        <f>SUM($D$4:D14)</f>
        <v>1672316.5080644665</v>
      </c>
      <c r="J14" s="57">
        <f ca="1">SUM(OFFSET(MonthAmort!$L$3,1,0,A14*12,1))</f>
        <v>1534220.9519646412</v>
      </c>
      <c r="K14" s="62">
        <f>SUM($E$4:E14)</f>
        <v>935924.2421638658</v>
      </c>
    </row>
    <row r="15" spans="1:11" ht="15" customHeight="1">
      <c r="A15" s="78">
        <v>12</v>
      </c>
      <c r="B15" s="14">
        <f t="shared" si="2"/>
        <v>1564075.757836134</v>
      </c>
      <c r="C15" s="14">
        <f>IF(B15=0,0,BondCalculator!$B$12*12)</f>
        <v>237112.7954753029</v>
      </c>
      <c r="D15" s="14">
        <f ca="1">SUM(OFFSET(MonthAmort!$E$3,(12*A14)+1,0,12,1))</f>
        <v>109200.54172563503</v>
      </c>
      <c r="E15" s="14">
        <f ca="1">SUM(OFFSET(MonthAmort!$F$3,(12*A14)+1,0,12,1))</f>
        <v>127912.25374966789</v>
      </c>
      <c r="F15" s="14">
        <f t="shared" si="0"/>
        <v>1436163.504086466</v>
      </c>
      <c r="G15" s="61">
        <f t="shared" si="1"/>
        <v>0.5744654016345864</v>
      </c>
      <c r="I15" s="62">
        <f>SUM($D$4:D15)</f>
        <v>1781517.0497901016</v>
      </c>
      <c r="J15" s="57">
        <f ca="1">SUM(OFFSET(MonthAmort!$L$3,1,0,A15*12,1))</f>
        <v>1612467.3141890157</v>
      </c>
      <c r="K15" s="62">
        <f>SUM($E$4:E15)</f>
        <v>1063836.4959135337</v>
      </c>
    </row>
    <row r="16" spans="1:11" ht="15" customHeight="1">
      <c r="A16" s="78">
        <v>13</v>
      </c>
      <c r="B16" s="14">
        <f t="shared" si="2"/>
        <v>1436163.504086466</v>
      </c>
      <c r="C16" s="14">
        <f>IF(B16=0,0,BondCalculator!$B$12*12)</f>
        <v>237112.7954753029</v>
      </c>
      <c r="D16" s="14">
        <f ca="1">SUM(OFFSET(MonthAmort!$E$3,(12*A15)+1,0,12,1))</f>
        <v>99612.4569652351</v>
      </c>
      <c r="E16" s="14">
        <f ca="1">SUM(OFFSET(MonthAmort!$F$3,(12*A15)+1,0,12,1))</f>
        <v>137500.3385100678</v>
      </c>
      <c r="F16" s="14">
        <f t="shared" si="0"/>
        <v>1298663.1655763981</v>
      </c>
      <c r="G16" s="61">
        <f t="shared" si="1"/>
        <v>0.5194652662305592</v>
      </c>
      <c r="I16" s="62">
        <f>SUM($D$4:D16)</f>
        <v>1881129.5067553367</v>
      </c>
      <c r="J16" s="57">
        <f ca="1">SUM(OFFSET(MonthAmort!$L$3,1,0,A16*12,1))</f>
        <v>1677006.3199213897</v>
      </c>
      <c r="K16" s="62">
        <f>SUM($E$4:E16)</f>
        <v>1201336.8344236016</v>
      </c>
    </row>
    <row r="17" spans="1:11" ht="15" customHeight="1">
      <c r="A17" s="78">
        <v>14</v>
      </c>
      <c r="B17" s="14">
        <f t="shared" si="2"/>
        <v>1298663.1655763981</v>
      </c>
      <c r="C17" s="14">
        <f>IF(B17=0,0,BondCalculator!$B$12*12)</f>
        <v>237112.7954753029</v>
      </c>
      <c r="D17" s="14">
        <f ca="1">SUM(OFFSET(MonthAmort!$E$3,(12*A16)+1,0,12,1))</f>
        <v>89305.66569566415</v>
      </c>
      <c r="E17" s="14">
        <f ca="1">SUM(OFFSET(MonthAmort!$F$3,(12*A16)+1,0,12,1))</f>
        <v>147807.12977963875</v>
      </c>
      <c r="F17" s="14">
        <f t="shared" si="0"/>
        <v>1150856.0357967594</v>
      </c>
      <c r="G17" s="61">
        <f t="shared" si="1"/>
        <v>0.46034241431870376</v>
      </c>
      <c r="I17" s="62">
        <f>SUM($D$4:D17)</f>
        <v>1970435.172451001</v>
      </c>
      <c r="J17" s="57">
        <f ca="1">SUM(OFFSET(MonthAmort!$L$3,1,0,A17*12,1))</f>
        <v>1726810.4890569753</v>
      </c>
      <c r="K17" s="62">
        <f>SUM($E$4:E17)</f>
        <v>1349143.9642032403</v>
      </c>
    </row>
    <row r="18" spans="1:11" ht="15" customHeight="1">
      <c r="A18" s="78">
        <v>15</v>
      </c>
      <c r="B18" s="14">
        <f t="shared" si="2"/>
        <v>1150856.0357967594</v>
      </c>
      <c r="C18" s="14">
        <f>IF(B18=0,0,BondCalculator!$B$12*12)</f>
        <v>237112.7954753029</v>
      </c>
      <c r="D18" s="14">
        <f ca="1">SUM(OFFSET(MonthAmort!$E$3,(12*A17)+1,0,12,1))</f>
        <v>78226.29490064923</v>
      </c>
      <c r="E18" s="14">
        <f ca="1">SUM(OFFSET(MonthAmort!$F$3,(12*A17)+1,0,12,1))</f>
        <v>158886.5005746537</v>
      </c>
      <c r="F18" s="14">
        <f t="shared" si="0"/>
        <v>991969.5352221057</v>
      </c>
      <c r="G18" s="61">
        <f t="shared" si="1"/>
        <v>0.3967878140888423</v>
      </c>
      <c r="I18" s="62">
        <f>SUM($D$4:D18)</f>
        <v>2048661.4673516501</v>
      </c>
      <c r="J18" s="57">
        <f ca="1">SUM(OFFSET(MonthAmort!$L$3,1,0,A18*12,1))</f>
        <v>1760775.3233316962</v>
      </c>
      <c r="K18" s="62">
        <f>SUM($E$4:E18)</f>
        <v>1508030.464777894</v>
      </c>
    </row>
    <row r="19" spans="1:11" ht="15" customHeight="1">
      <c r="A19" s="78">
        <v>16</v>
      </c>
      <c r="B19" s="14">
        <f t="shared" si="2"/>
        <v>991969.5352221057</v>
      </c>
      <c r="C19" s="14">
        <f>IF(B19=0,0,BondCalculator!$B$12*12)</f>
        <v>237112.7954753029</v>
      </c>
      <c r="D19" s="14">
        <f ca="1">SUM(OFFSET(MonthAmort!$E$3,(12*A18)+1,0,12,1))</f>
        <v>66316.43333434039</v>
      </c>
      <c r="E19" s="14">
        <f ca="1">SUM(OFFSET(MonthAmort!$F$3,(12*A18)+1,0,12,1))</f>
        <v>170796.36214096253</v>
      </c>
      <c r="F19" s="14">
        <f t="shared" si="0"/>
        <v>821173.1730811432</v>
      </c>
      <c r="G19" s="61">
        <f t="shared" si="1"/>
        <v>0.3284692692324573</v>
      </c>
      <c r="I19" s="62">
        <f>SUM($D$4:D19)</f>
        <v>2114977.9006859907</v>
      </c>
      <c r="J19" s="57">
        <f ca="1">SUM(OFFSET(MonthAmort!$L$3,1,0,A19*12,1))</f>
        <v>1777713.533172096</v>
      </c>
      <c r="K19" s="62">
        <f>SUM($E$4:E19)</f>
        <v>1678826.8269188567</v>
      </c>
    </row>
    <row r="20" spans="1:11" ht="15" customHeight="1">
      <c r="A20" s="78">
        <v>17</v>
      </c>
      <c r="B20" s="14">
        <f t="shared" si="2"/>
        <v>821173.1730811432</v>
      </c>
      <c r="C20" s="14">
        <f>IF(B20=0,0,BondCalculator!$B$12*12)</f>
        <v>237112.7954753029</v>
      </c>
      <c r="D20" s="14">
        <f ca="1">SUM(OFFSET(MonthAmort!$E$3,(12*A19)+1,0,12,1))</f>
        <v>53513.82882249732</v>
      </c>
      <c r="E20" s="14">
        <f ca="1">SUM(OFFSET(MonthAmort!$F$3,(12*A19)+1,0,12,1))</f>
        <v>183598.96665280563</v>
      </c>
      <c r="F20" s="14">
        <f t="shared" si="0"/>
        <v>637574.2064283376</v>
      </c>
      <c r="G20" s="61">
        <f t="shared" si="1"/>
        <v>0.25502968257133507</v>
      </c>
      <c r="I20" s="62">
        <f>SUM($D$4:D20)</f>
        <v>2168491.729508488</v>
      </c>
      <c r="J20" s="57">
        <f ca="1">SUM(OFFSET(MonthAmort!$L$3,1,0,A20*12,1))</f>
        <v>1779445.7041441083</v>
      </c>
      <c r="K20" s="62">
        <f>SUM($E$4:E20)</f>
        <v>1862425.7935716624</v>
      </c>
    </row>
    <row r="21" spans="1:11" ht="15" customHeight="1">
      <c r="A21" s="78">
        <v>18</v>
      </c>
      <c r="B21" s="14">
        <f t="shared" si="2"/>
        <v>637574.2064283376</v>
      </c>
      <c r="C21" s="14">
        <f>IF(B21=0,0,BondCalculator!$B$12*12)</f>
        <v>237112.7954753029</v>
      </c>
      <c r="D21" s="14">
        <f ca="1">SUM(OFFSET(MonthAmort!$E$3,(12*A20)+1,0,12,1))</f>
        <v>39751.56287388788</v>
      </c>
      <c r="E21" s="14">
        <f ca="1">SUM(OFFSET(MonthAmort!$F$3,(12*A20)+1,0,12,1))</f>
        <v>197361.23260141502</v>
      </c>
      <c r="F21" s="14">
        <f t="shared" si="0"/>
        <v>440212.9738269226</v>
      </c>
      <c r="G21" s="61">
        <f t="shared" si="1"/>
        <v>0.17608518953076904</v>
      </c>
      <c r="I21" s="62">
        <f>SUM($D$4:D21)</f>
        <v>2208243.292382376</v>
      </c>
      <c r="J21" s="57">
        <f ca="1">SUM(OFFSET(MonthAmort!$L$3,1,0,A21*12,1))</f>
        <v>1779445.7041441083</v>
      </c>
      <c r="K21" s="62">
        <f>SUM($E$4:E21)</f>
        <v>2059787.0261730775</v>
      </c>
    </row>
    <row r="22" spans="1:11" ht="15" customHeight="1">
      <c r="A22" s="78">
        <v>19</v>
      </c>
      <c r="B22" s="14">
        <f t="shared" si="2"/>
        <v>440212.9738269226</v>
      </c>
      <c r="C22" s="14">
        <f>IF(B22=0,0,BondCalculator!$B$12*12)</f>
        <v>237112.7954753029</v>
      </c>
      <c r="D22" s="14">
        <f ca="1">SUM(OFFSET(MonthAmort!$E$3,(12*A21)+1,0,12,1))</f>
        <v>24957.70090111117</v>
      </c>
      <c r="E22" s="14">
        <f ca="1">SUM(OFFSET(MonthAmort!$F$3,(12*A21)+1,0,12,1))</f>
        <v>212155.09457419175</v>
      </c>
      <c r="F22" s="14">
        <f t="shared" si="0"/>
        <v>228057.87925273084</v>
      </c>
      <c r="G22" s="61">
        <f t="shared" si="1"/>
        <v>0.09122315170109234</v>
      </c>
      <c r="I22" s="62">
        <f>SUM($D$4:D22)</f>
        <v>2233200.993283487</v>
      </c>
      <c r="J22" s="57">
        <f ca="1">SUM(OFFSET(MonthAmort!$L$3,1,0,A22*12,1))</f>
        <v>1779445.7041441083</v>
      </c>
      <c r="K22" s="62">
        <f>SUM($E$4:E22)</f>
        <v>2271942.120747269</v>
      </c>
    </row>
    <row r="23" spans="1:11" ht="15" customHeight="1">
      <c r="A23" s="78">
        <v>20</v>
      </c>
      <c r="B23" s="14">
        <f t="shared" si="2"/>
        <v>228057.87925273084</v>
      </c>
      <c r="C23" s="14">
        <f>IF(B23=0,0,BondCalculator!$B$12*12)</f>
        <v>237112.7954753029</v>
      </c>
      <c r="D23" s="14">
        <f ca="1">SUM(OFFSET(MonthAmort!$E$3,(12*A22)+1,0,12,1))</f>
        <v>9054.916222568998</v>
      </c>
      <c r="E23" s="14">
        <f ca="1">SUM(OFFSET(MonthAmort!$F$3,(12*A22)+1,0,12,1))</f>
        <v>228057.8792527303</v>
      </c>
      <c r="F23" s="14">
        <f t="shared" si="0"/>
        <v>0</v>
      </c>
      <c r="G23" s="61">
        <f t="shared" si="1"/>
        <v>0</v>
      </c>
      <c r="I23" s="62">
        <f>SUM($D$4:D23)</f>
        <v>2242255.909506056</v>
      </c>
      <c r="J23" s="57">
        <f ca="1">SUM(OFFSET(MonthAmort!$L$3,1,0,A23*12,1))</f>
        <v>1779445.7041441083</v>
      </c>
      <c r="K23" s="62">
        <f>SUM($E$4:E23)</f>
        <v>2499999.9999999995</v>
      </c>
    </row>
    <row r="24" spans="1:11" ht="15" customHeight="1">
      <c r="A24" s="78">
        <v>21</v>
      </c>
      <c r="B24" s="14">
        <f t="shared" si="2"/>
        <v>0</v>
      </c>
      <c r="C24" s="14">
        <f>IF(B24=0,0,BondCalculator!$B$12*12)</f>
        <v>0</v>
      </c>
      <c r="D24" s="14">
        <f ca="1">SUM(OFFSET(MonthAmort!$E$3,(12*A23)+1,0,12,1))</f>
        <v>0</v>
      </c>
      <c r="E24" s="14">
        <f ca="1">SUM(OFFSET(MonthAmort!$F$3,(12*A23)+1,0,12,1))</f>
        <v>0</v>
      </c>
      <c r="F24" s="14">
        <f t="shared" si="0"/>
        <v>0</v>
      </c>
      <c r="G24" s="61">
        <f t="shared" si="1"/>
        <v>0</v>
      </c>
      <c r="I24" s="62">
        <f>SUM($D$4:D24)</f>
        <v>2242255.909506056</v>
      </c>
      <c r="J24" s="57">
        <f ca="1">SUM(OFFSET(MonthAmort!$L$3,1,0,A24*12,1))</f>
        <v>1779445.7041441083</v>
      </c>
      <c r="K24" s="62">
        <f>SUM($E$4:E24)</f>
        <v>2499999.9999999995</v>
      </c>
    </row>
    <row r="25" spans="1:11" ht="15" customHeight="1">
      <c r="A25" s="78">
        <v>22</v>
      </c>
      <c r="B25" s="14">
        <f t="shared" si="2"/>
        <v>0</v>
      </c>
      <c r="C25" s="14">
        <f>IF(B25=0,0,BondCalculator!$B$12*12)</f>
        <v>0</v>
      </c>
      <c r="D25" s="14">
        <f ca="1">SUM(OFFSET(MonthAmort!$E$3,(12*A24)+1,0,12,1))</f>
        <v>0</v>
      </c>
      <c r="E25" s="14">
        <f ca="1">SUM(OFFSET(MonthAmort!$F$3,(12*A24)+1,0,12,1))</f>
        <v>0</v>
      </c>
      <c r="F25" s="14">
        <f t="shared" si="0"/>
        <v>0</v>
      </c>
      <c r="G25" s="61">
        <f t="shared" si="1"/>
        <v>0</v>
      </c>
      <c r="I25" s="62">
        <f>SUM($D$4:D25)</f>
        <v>2242255.909506056</v>
      </c>
      <c r="J25" s="57">
        <f ca="1">SUM(OFFSET(MonthAmort!$L$3,1,0,A25*12,1))</f>
        <v>1779445.7041441083</v>
      </c>
      <c r="K25" s="62">
        <f>SUM($E$4:E25)</f>
        <v>2499999.9999999995</v>
      </c>
    </row>
    <row r="26" spans="1:11" ht="15" customHeight="1">
      <c r="A26" s="78">
        <v>23</v>
      </c>
      <c r="B26" s="14">
        <f t="shared" si="2"/>
        <v>0</v>
      </c>
      <c r="C26" s="14">
        <f>IF(B26=0,0,BondCalculator!$B$12*12)</f>
        <v>0</v>
      </c>
      <c r="D26" s="14">
        <f ca="1">SUM(OFFSET(MonthAmort!$E$3,(12*A25)+1,0,12,1))</f>
        <v>0</v>
      </c>
      <c r="E26" s="14">
        <f ca="1">SUM(OFFSET(MonthAmort!$F$3,(12*A25)+1,0,12,1))</f>
        <v>0</v>
      </c>
      <c r="F26" s="14">
        <f t="shared" si="0"/>
        <v>0</v>
      </c>
      <c r="G26" s="61">
        <f t="shared" si="1"/>
        <v>0</v>
      </c>
      <c r="I26" s="62">
        <f>SUM($D$4:D26)</f>
        <v>2242255.909506056</v>
      </c>
      <c r="J26" s="57">
        <f ca="1">SUM(OFFSET(MonthAmort!$L$3,1,0,A26*12,1))</f>
        <v>1779445.7041441083</v>
      </c>
      <c r="K26" s="62">
        <f>SUM($E$4:E26)</f>
        <v>2499999.9999999995</v>
      </c>
    </row>
    <row r="27" spans="1:11" ht="15" customHeight="1">
      <c r="A27" s="78">
        <v>24</v>
      </c>
      <c r="B27" s="14">
        <f t="shared" si="2"/>
        <v>0</v>
      </c>
      <c r="C27" s="14">
        <f>IF(B27=0,0,BondCalculator!$B$12*12)</f>
        <v>0</v>
      </c>
      <c r="D27" s="14">
        <f ca="1">SUM(OFFSET(MonthAmort!$E$3,(12*A26)+1,0,12,1))</f>
        <v>0</v>
      </c>
      <c r="E27" s="14">
        <f ca="1">SUM(OFFSET(MonthAmort!$F$3,(12*A26)+1,0,12,1))</f>
        <v>0</v>
      </c>
      <c r="F27" s="14">
        <f t="shared" si="0"/>
        <v>0</v>
      </c>
      <c r="G27" s="61">
        <f t="shared" si="1"/>
        <v>0</v>
      </c>
      <c r="I27" s="62">
        <f>SUM($D$4:D27)</f>
        <v>2242255.909506056</v>
      </c>
      <c r="J27" s="57">
        <f ca="1">SUM(OFFSET(MonthAmort!$L$3,1,0,A27*12,1))</f>
        <v>1779445.7041441083</v>
      </c>
      <c r="K27" s="62">
        <f>SUM($E$4:E27)</f>
        <v>2499999.9999999995</v>
      </c>
    </row>
    <row r="28" spans="1:11" ht="15" customHeight="1">
      <c r="A28" s="78">
        <v>25</v>
      </c>
      <c r="B28" s="14">
        <f t="shared" si="2"/>
        <v>0</v>
      </c>
      <c r="C28" s="14">
        <f>IF(B28=0,0,BondCalculator!$B$12*12)</f>
        <v>0</v>
      </c>
      <c r="D28" s="14">
        <f ca="1">SUM(OFFSET(MonthAmort!$E$3,(12*A27)+1,0,12,1))</f>
        <v>0</v>
      </c>
      <c r="E28" s="14">
        <f ca="1">SUM(OFFSET(MonthAmort!$F$3,(12*A27)+1,0,12,1))</f>
        <v>0</v>
      </c>
      <c r="F28" s="14">
        <f t="shared" si="0"/>
        <v>0</v>
      </c>
      <c r="G28" s="61">
        <f t="shared" si="1"/>
        <v>0</v>
      </c>
      <c r="I28" s="62">
        <f>SUM($D$4:D28)</f>
        <v>2242255.909506056</v>
      </c>
      <c r="J28" s="57">
        <f ca="1">SUM(OFFSET(MonthAmort!$L$3,1,0,A28*12,1))</f>
        <v>1779445.7041441083</v>
      </c>
      <c r="K28" s="62">
        <f>SUM($E$4:E28)</f>
        <v>2499999.9999999995</v>
      </c>
    </row>
    <row r="29" spans="1:11" ht="15" customHeight="1">
      <c r="A29" s="78">
        <v>26</v>
      </c>
      <c r="B29" s="14">
        <f t="shared" si="2"/>
        <v>0</v>
      </c>
      <c r="C29" s="14">
        <f>IF(B29=0,0,BondCalculator!$B$12*12)</f>
        <v>0</v>
      </c>
      <c r="D29" s="14">
        <f ca="1">SUM(OFFSET(MonthAmort!$E$3,(12*A28)+1,0,12,1))</f>
        <v>0</v>
      </c>
      <c r="E29" s="14">
        <f ca="1">SUM(OFFSET(MonthAmort!$F$3,(12*A28)+1,0,12,1))</f>
        <v>0</v>
      </c>
      <c r="F29" s="14">
        <f t="shared" si="0"/>
        <v>0</v>
      </c>
      <c r="G29" s="61">
        <f t="shared" si="1"/>
        <v>0</v>
      </c>
      <c r="I29" s="62">
        <f>SUM($D$4:D29)</f>
        <v>2242255.909506056</v>
      </c>
      <c r="J29" s="57">
        <f ca="1">SUM(OFFSET(MonthAmort!$L$3,1,0,A29*12,1))</f>
        <v>1779445.7041441083</v>
      </c>
      <c r="K29" s="62">
        <f>SUM($E$4:E29)</f>
        <v>2499999.9999999995</v>
      </c>
    </row>
    <row r="30" spans="1:11" ht="15" customHeight="1">
      <c r="A30" s="78">
        <v>27</v>
      </c>
      <c r="B30" s="14">
        <f t="shared" si="2"/>
        <v>0</v>
      </c>
      <c r="C30" s="14">
        <f>IF(B30=0,0,BondCalculator!$B$12*12)</f>
        <v>0</v>
      </c>
      <c r="D30" s="14">
        <f ca="1">SUM(OFFSET(MonthAmort!$E$3,(12*A29)+1,0,12,1))</f>
        <v>0</v>
      </c>
      <c r="E30" s="14">
        <f ca="1">SUM(OFFSET(MonthAmort!$F$3,(12*A29)+1,0,12,1))</f>
        <v>0</v>
      </c>
      <c r="F30" s="14">
        <f t="shared" si="0"/>
        <v>0</v>
      </c>
      <c r="G30" s="61">
        <f t="shared" si="1"/>
        <v>0</v>
      </c>
      <c r="I30" s="62">
        <f>SUM($D$4:D30)</f>
        <v>2242255.909506056</v>
      </c>
      <c r="J30" s="57">
        <f ca="1">SUM(OFFSET(MonthAmort!$L$3,1,0,A30*12,1))</f>
        <v>1779445.7041441083</v>
      </c>
      <c r="K30" s="62">
        <f>SUM($E$4:E30)</f>
        <v>2499999.9999999995</v>
      </c>
    </row>
    <row r="31" spans="1:11" ht="15" customHeight="1">
      <c r="A31" s="78">
        <v>28</v>
      </c>
      <c r="B31" s="14">
        <f t="shared" si="2"/>
        <v>0</v>
      </c>
      <c r="C31" s="14">
        <f>IF(B31=0,0,BondCalculator!$B$12*12)</f>
        <v>0</v>
      </c>
      <c r="D31" s="14">
        <f ca="1">SUM(OFFSET(MonthAmort!$E$3,(12*A30)+1,0,12,1))</f>
        <v>0</v>
      </c>
      <c r="E31" s="14">
        <f ca="1">SUM(OFFSET(MonthAmort!$F$3,(12*A30)+1,0,12,1))</f>
        <v>0</v>
      </c>
      <c r="F31" s="14">
        <f t="shared" si="0"/>
        <v>0</v>
      </c>
      <c r="G31" s="61">
        <f t="shared" si="1"/>
        <v>0</v>
      </c>
      <c r="I31" s="62">
        <f>SUM($D$4:D31)</f>
        <v>2242255.909506056</v>
      </c>
      <c r="J31" s="57">
        <f ca="1">SUM(OFFSET(MonthAmort!$L$3,1,0,A31*12,1))</f>
        <v>1779445.7041441083</v>
      </c>
      <c r="K31" s="62">
        <f>SUM($E$4:E31)</f>
        <v>2499999.9999999995</v>
      </c>
    </row>
    <row r="32" spans="1:11" ht="15" customHeight="1">
      <c r="A32" s="78">
        <v>29</v>
      </c>
      <c r="B32" s="14">
        <f t="shared" si="2"/>
        <v>0</v>
      </c>
      <c r="C32" s="14">
        <f>IF(B32=0,0,BondCalculator!$B$12*12)</f>
        <v>0</v>
      </c>
      <c r="D32" s="14">
        <f ca="1">SUM(OFFSET(MonthAmort!$E$3,(12*A31)+1,0,12,1))</f>
        <v>0</v>
      </c>
      <c r="E32" s="14">
        <f ca="1">SUM(OFFSET(MonthAmort!$F$3,(12*A31)+1,0,12,1))</f>
        <v>0</v>
      </c>
      <c r="F32" s="14">
        <f t="shared" si="0"/>
        <v>0</v>
      </c>
      <c r="G32" s="61">
        <f t="shared" si="1"/>
        <v>0</v>
      </c>
      <c r="I32" s="62">
        <f>SUM($D$4:D32)</f>
        <v>2242255.909506056</v>
      </c>
      <c r="J32" s="57">
        <f ca="1">SUM(OFFSET(MonthAmort!$L$3,1,0,A32*12,1))</f>
        <v>1779445.7041441083</v>
      </c>
      <c r="K32" s="62">
        <f>SUM($E$4:E32)</f>
        <v>2499999.9999999995</v>
      </c>
    </row>
    <row r="33" spans="1:11" ht="15" customHeight="1">
      <c r="A33" s="78">
        <v>30</v>
      </c>
      <c r="B33" s="14">
        <f t="shared" si="2"/>
        <v>0</v>
      </c>
      <c r="C33" s="14">
        <f>IF(B33=0,0,BondCalculator!$B$12*12)</f>
        <v>0</v>
      </c>
      <c r="D33" s="14">
        <f ca="1">SUM(OFFSET(MonthAmort!$E$3,(12*A32)+1,0,12,1))</f>
        <v>0</v>
      </c>
      <c r="E33" s="14">
        <f ca="1">SUM(OFFSET(MonthAmort!$F$3,(12*A32)+1,0,12,1))</f>
        <v>0</v>
      </c>
      <c r="F33" s="14">
        <f t="shared" si="0"/>
        <v>0</v>
      </c>
      <c r="G33" s="61">
        <f t="shared" si="1"/>
        <v>0</v>
      </c>
      <c r="I33" s="62">
        <f>SUM($D$4:D33)</f>
        <v>2242255.909506056</v>
      </c>
      <c r="J33" s="57">
        <f ca="1">SUM(OFFSET(MonthAmort!$L$3,1,0,A33*12,1))</f>
        <v>1779445.7041441083</v>
      </c>
      <c r="K33" s="62">
        <f>SUM($E$4:E33)</f>
        <v>2499999.9999999995</v>
      </c>
    </row>
  </sheetData>
  <sheetProtection/>
  <printOptions/>
  <pageMargins left="0.75" right="0.75" top="1" bottom="1" header="0.5" footer="0.5"/>
  <pageSetup fitToHeight="1" fitToWidth="1" horizontalDpi="600" verticalDpi="600" orientation="portrait" paperSize="9" scale="80" r:id="rId1"/>
  <headerFooter alignWithMargins="0">
    <oddFooter>&amp;CPage &amp;P of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S364"/>
  <sheetViews>
    <sheetView zoomScale="95" zoomScaleNormal="95"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3" sqref="B3"/>
    </sheetView>
  </sheetViews>
  <sheetFormatPr defaultColWidth="9.140625" defaultRowHeight="15" customHeight="1"/>
  <cols>
    <col min="1" max="1" width="0" style="63" hidden="1" customWidth="1"/>
    <col min="2" max="2" width="15.7109375" style="63" customWidth="1"/>
    <col min="3" max="7" width="15.7109375" style="64" customWidth="1"/>
    <col min="8" max="8" width="15.7109375" style="76" customWidth="1"/>
    <col min="9" max="9" width="3.7109375" style="63" customWidth="1"/>
    <col min="10" max="14" width="15.7109375" style="65" hidden="1" customWidth="1"/>
    <col min="15" max="15" width="5.7109375" style="63" hidden="1" customWidth="1"/>
    <col min="16" max="16" width="15.7109375" style="66" hidden="1" customWidth="1"/>
    <col min="17" max="17" width="15.7109375" style="67" hidden="1" customWidth="1"/>
    <col min="18" max="18" width="5.7109375" style="66" hidden="1" customWidth="1"/>
    <col min="19" max="19" width="15.7109375" style="68" hidden="1" customWidth="1"/>
    <col min="20" max="24" width="12.7109375" style="63" customWidth="1"/>
    <col min="25" max="16384" width="9.140625" style="63" customWidth="1"/>
  </cols>
  <sheetData>
    <row r="1" spans="2:8" ht="15.75">
      <c r="B1" s="122" t="s">
        <v>141</v>
      </c>
      <c r="H1" s="79"/>
    </row>
    <row r="2" ht="15" customHeight="1">
      <c r="B2" s="120" t="s">
        <v>212</v>
      </c>
    </row>
    <row r="3" spans="2:19" s="69" customFormat="1" ht="30">
      <c r="B3" s="109" t="s">
        <v>4</v>
      </c>
      <c r="C3" s="110" t="s">
        <v>175</v>
      </c>
      <c r="D3" s="110" t="s">
        <v>2</v>
      </c>
      <c r="E3" s="110" t="s">
        <v>177</v>
      </c>
      <c r="F3" s="110" t="s">
        <v>178</v>
      </c>
      <c r="G3" s="110" t="s">
        <v>176</v>
      </c>
      <c r="H3" s="111" t="s">
        <v>3</v>
      </c>
      <c r="I3" s="70"/>
      <c r="J3" s="71" t="s">
        <v>175</v>
      </c>
      <c r="K3" s="71" t="s">
        <v>92</v>
      </c>
      <c r="L3" s="71" t="s">
        <v>177</v>
      </c>
      <c r="M3" s="71" t="s">
        <v>178</v>
      </c>
      <c r="N3" s="71" t="s">
        <v>176</v>
      </c>
      <c r="P3" s="71" t="s">
        <v>0</v>
      </c>
      <c r="Q3" s="72" t="s">
        <v>93</v>
      </c>
      <c r="R3" s="71"/>
      <c r="S3" s="73" t="s">
        <v>94</v>
      </c>
    </row>
    <row r="4" spans="1:19" ht="15" customHeight="1">
      <c r="A4" s="63" t="s">
        <v>95</v>
      </c>
      <c r="B4" s="74">
        <v>1</v>
      </c>
      <c r="C4" s="75">
        <f>BondCalculator!$B$4</f>
        <v>2500000</v>
      </c>
      <c r="D4" s="64">
        <f>BondCalculator!$B$12</f>
        <v>19759.39962294191</v>
      </c>
      <c r="E4" s="64">
        <f>C4*BondCalculator!$B$5/12</f>
        <v>15104.166666666666</v>
      </c>
      <c r="F4" s="64">
        <f>D4-E4</f>
        <v>4655.232956275244</v>
      </c>
      <c r="G4" s="64">
        <f>IF(ROUND(C4-F4,2)=0,0,C4-F4)</f>
        <v>2495344.7670437247</v>
      </c>
      <c r="H4" s="76">
        <f>IF($C$4=0,0,G4/$C$4)</f>
        <v>0.9981379068174898</v>
      </c>
      <c r="J4" s="66">
        <f>BondCalculator!B4</f>
        <v>2500000</v>
      </c>
      <c r="K4" s="66">
        <f>BondCalculator!$B$12+BondCalculator!$B$7</f>
        <v>21759.39962294191</v>
      </c>
      <c r="L4" s="66">
        <f>J4*BondCalculator!$B$5/12</f>
        <v>15104.166666666666</v>
      </c>
      <c r="M4" s="66">
        <f>IF(K4-L4&gt;N3,N3,K4-L4)</f>
        <v>6655.232956275244</v>
      </c>
      <c r="N4" s="66">
        <f aca="true" t="shared" si="0" ref="N4:N67">J4-M4</f>
        <v>2493344.7670437247</v>
      </c>
      <c r="P4" s="66">
        <f aca="true" t="shared" si="1" ref="P4:P67">E4-L4</f>
        <v>0</v>
      </c>
      <c r="Q4" s="67">
        <f>-PV(BondCalculator!$B$9/12,B4,0,1,0)</f>
        <v>0.9950248756218907</v>
      </c>
      <c r="S4" s="68">
        <f aca="true" t="shared" si="2" ref="S4:S67">P4*Q4</f>
        <v>0</v>
      </c>
    </row>
    <row r="5" spans="1:19" ht="15" customHeight="1">
      <c r="A5" s="63" t="s">
        <v>95</v>
      </c>
      <c r="B5" s="74">
        <v>2</v>
      </c>
      <c r="C5" s="64">
        <f>G4</f>
        <v>2495344.7670437247</v>
      </c>
      <c r="D5" s="64">
        <f>IF(G4=0,0,IF(G4&lt;BondCalculator!$B$12,G4+E5,BondCalculator!$B$12))</f>
        <v>19759.39962294191</v>
      </c>
      <c r="E5" s="64">
        <f>C5*BondCalculator!$B$5/12</f>
        <v>15076.041300889168</v>
      </c>
      <c r="F5" s="64">
        <f aca="true" t="shared" si="3" ref="F5:F68">D5-E5</f>
        <v>4683.358322052742</v>
      </c>
      <c r="G5" s="64">
        <f aca="true" t="shared" si="4" ref="G5:G68">IF(ROUND(C5-F5,2)=0,0,C5-F5)</f>
        <v>2490661.408721672</v>
      </c>
      <c r="H5" s="76">
        <f aca="true" t="shared" si="5" ref="H5:H68">IF($C$4=0,0,G5/$C$4)</f>
        <v>0.9962645634886688</v>
      </c>
      <c r="J5" s="66">
        <f aca="true" t="shared" si="6" ref="J5:J68">IF(ROUND(N4,0)&gt;0,N4,0)</f>
        <v>2493344.7670437247</v>
      </c>
      <c r="K5" s="66">
        <f>IF(N4=0,0,IF(N4&lt;BondCalculator!$B$12+BondCalculator!$B$7,N4+L5,BondCalculator!$B$12+BondCalculator!$B$7))</f>
        <v>21759.39962294191</v>
      </c>
      <c r="L5" s="66">
        <f>J5*BondCalculator!$B$5/12</f>
        <v>15063.957967555834</v>
      </c>
      <c r="M5" s="66">
        <f aca="true" t="shared" si="7" ref="M5:M68">IF(K5-L5&gt;N4,N4,K5-L5)</f>
        <v>6695.441655386076</v>
      </c>
      <c r="N5" s="66">
        <f t="shared" si="0"/>
        <v>2486649.3253883384</v>
      </c>
      <c r="P5" s="66">
        <f t="shared" si="1"/>
        <v>12.08333333333394</v>
      </c>
      <c r="Q5" s="67">
        <f>-PV(BondCalculator!$B$9/12,B5,0,1,0)</f>
        <v>0.990074503106359</v>
      </c>
      <c r="S5" s="68">
        <f t="shared" si="2"/>
        <v>11.963400245869105</v>
      </c>
    </row>
    <row r="6" spans="1:19" ht="15" customHeight="1">
      <c r="A6" s="63" t="s">
        <v>95</v>
      </c>
      <c r="B6" s="74">
        <v>3</v>
      </c>
      <c r="C6" s="64">
        <f aca="true" t="shared" si="8" ref="C6:C69">G5</f>
        <v>2490661.408721672</v>
      </c>
      <c r="D6" s="64">
        <f>IF(G5=0,0,IF(G5&lt;BondCalculator!$B$12,G5+E6,BondCalculator!$B$12))</f>
        <v>19759.39962294191</v>
      </c>
      <c r="E6" s="64">
        <f>C6*BondCalculator!$B$5/12</f>
        <v>15047.746011026766</v>
      </c>
      <c r="F6" s="64">
        <f t="shared" si="3"/>
        <v>4711.653611915144</v>
      </c>
      <c r="G6" s="64">
        <f t="shared" si="4"/>
        <v>2485949.7551097567</v>
      </c>
      <c r="H6" s="76">
        <f t="shared" si="5"/>
        <v>0.9943799020439027</v>
      </c>
      <c r="J6" s="66">
        <f t="shared" si="6"/>
        <v>2486649.3253883384</v>
      </c>
      <c r="K6" s="66">
        <f>IF(N5=0,0,IF(N5&lt;BondCalculator!$B$12+BondCalculator!$B$7,N5+L6,BondCalculator!$B$12+BondCalculator!$B$7))</f>
        <v>21759.39962294191</v>
      </c>
      <c r="L6" s="66">
        <f>J6*BondCalculator!$B$5/12</f>
        <v>15023.506340887878</v>
      </c>
      <c r="M6" s="66">
        <f t="shared" si="7"/>
        <v>6735.893282054032</v>
      </c>
      <c r="N6" s="66">
        <f t="shared" si="0"/>
        <v>2479913.4321062844</v>
      </c>
      <c r="P6" s="66">
        <f t="shared" si="1"/>
        <v>24.23967013888796</v>
      </c>
      <c r="Q6" s="67">
        <f>-PV(BondCalculator!$B$9/12,B6,0,1,0)</f>
        <v>0.98514875930981</v>
      </c>
      <c r="S6" s="68">
        <f t="shared" si="2"/>
        <v>23.879680963404525</v>
      </c>
    </row>
    <row r="7" spans="1:19" ht="15" customHeight="1">
      <c r="A7" s="63" t="s">
        <v>95</v>
      </c>
      <c r="B7" s="74">
        <v>4</v>
      </c>
      <c r="C7" s="64">
        <f t="shared" si="8"/>
        <v>2485949.7551097567</v>
      </c>
      <c r="D7" s="64">
        <f>IF(G6=0,0,IF(G6&lt;BondCalculator!$B$12,G6+E7,BondCalculator!$B$12))</f>
        <v>19759.39962294191</v>
      </c>
      <c r="E7" s="64">
        <f>C7*BondCalculator!$B$5/12</f>
        <v>15019.27977045478</v>
      </c>
      <c r="F7" s="64">
        <f t="shared" si="3"/>
        <v>4740.119852487131</v>
      </c>
      <c r="G7" s="64">
        <f t="shared" si="4"/>
        <v>2481209.6352572697</v>
      </c>
      <c r="H7" s="76">
        <f t="shared" si="5"/>
        <v>0.9924838541029078</v>
      </c>
      <c r="J7" s="66">
        <f t="shared" si="6"/>
        <v>2479913.4321062844</v>
      </c>
      <c r="K7" s="66">
        <f>IF(N6=0,0,IF(N6&lt;BondCalculator!$B$12+BondCalculator!$B$7,N6+L7,BondCalculator!$B$12+BondCalculator!$B$7))</f>
        <v>21759.39962294191</v>
      </c>
      <c r="L7" s="66">
        <f>J7*BondCalculator!$B$5/12</f>
        <v>14982.810318975467</v>
      </c>
      <c r="M7" s="66">
        <f t="shared" si="7"/>
        <v>6776.5893039664425</v>
      </c>
      <c r="N7" s="66">
        <f t="shared" si="0"/>
        <v>2473136.842802318</v>
      </c>
      <c r="P7" s="66">
        <f t="shared" si="1"/>
        <v>36.46945147931183</v>
      </c>
      <c r="Q7" s="67">
        <f>-PV(BondCalculator!$B$9/12,B7,0,1,0)</f>
        <v>0.9802475217013038</v>
      </c>
      <c r="S7" s="68">
        <f t="shared" si="2"/>
        <v>35.74908943040137</v>
      </c>
    </row>
    <row r="8" spans="1:19" ht="15" customHeight="1">
      <c r="A8" s="63" t="s">
        <v>95</v>
      </c>
      <c r="B8" s="74">
        <v>5</v>
      </c>
      <c r="C8" s="64">
        <f t="shared" si="8"/>
        <v>2481209.6352572697</v>
      </c>
      <c r="D8" s="64">
        <f>IF(G7=0,0,IF(G7&lt;BondCalculator!$B$12,G7+E8,BondCalculator!$B$12))</f>
        <v>19759.39962294191</v>
      </c>
      <c r="E8" s="64">
        <f>C8*BondCalculator!$B$5/12</f>
        <v>14990.641546346005</v>
      </c>
      <c r="F8" s="64">
        <f t="shared" si="3"/>
        <v>4768.758076595905</v>
      </c>
      <c r="G8" s="64">
        <f t="shared" si="4"/>
        <v>2476440.8771806736</v>
      </c>
      <c r="H8" s="76">
        <f t="shared" si="5"/>
        <v>0.9905763508722695</v>
      </c>
      <c r="J8" s="66">
        <f t="shared" si="6"/>
        <v>2473136.842802318</v>
      </c>
      <c r="K8" s="66">
        <f>IF(N7=0,0,IF(N7&lt;BondCalculator!$B$12+BondCalculator!$B$7,N7+L8,BondCalculator!$B$12+BondCalculator!$B$7))</f>
        <v>21759.39962294191</v>
      </c>
      <c r="L8" s="66">
        <f>J8*BondCalculator!$B$5/12</f>
        <v>14941.868425264001</v>
      </c>
      <c r="M8" s="66">
        <f t="shared" si="7"/>
        <v>6817.5311976779085</v>
      </c>
      <c r="N8" s="66">
        <f t="shared" si="0"/>
        <v>2466319.31160464</v>
      </c>
      <c r="P8" s="66">
        <f t="shared" si="1"/>
        <v>48.773121082003854</v>
      </c>
      <c r="Q8" s="67">
        <f>-PV(BondCalculator!$B$9/12,B8,0,1,0)</f>
        <v>0.9753706683595065</v>
      </c>
      <c r="S8" s="68">
        <f t="shared" si="2"/>
        <v>47.57187170773324</v>
      </c>
    </row>
    <row r="9" spans="1:19" ht="15" customHeight="1">
      <c r="A9" s="63" t="s">
        <v>95</v>
      </c>
      <c r="B9" s="74">
        <v>6</v>
      </c>
      <c r="C9" s="64">
        <f t="shared" si="8"/>
        <v>2476440.8771806736</v>
      </c>
      <c r="D9" s="64">
        <f>IF(G8=0,0,IF(G8&lt;BondCalculator!$B$12,G8+E9,BondCalculator!$B$12))</f>
        <v>19759.39962294191</v>
      </c>
      <c r="E9" s="64">
        <f>C9*BondCalculator!$B$5/12</f>
        <v>14961.830299633235</v>
      </c>
      <c r="F9" s="64">
        <f t="shared" si="3"/>
        <v>4797.569323308675</v>
      </c>
      <c r="G9" s="64">
        <f t="shared" si="4"/>
        <v>2471643.307857365</v>
      </c>
      <c r="H9" s="76">
        <f t="shared" si="5"/>
        <v>0.988657323142946</v>
      </c>
      <c r="J9" s="66">
        <f t="shared" si="6"/>
        <v>2466319.31160464</v>
      </c>
      <c r="K9" s="66">
        <f>IF(N8=0,0,IF(N8&lt;BondCalculator!$B$12+BondCalculator!$B$7,N8+L9,BondCalculator!$B$12+BondCalculator!$B$7))</f>
        <v>21759.39962294191</v>
      </c>
      <c r="L9" s="66">
        <f>J9*BondCalculator!$B$5/12</f>
        <v>14900.679174278033</v>
      </c>
      <c r="M9" s="66">
        <f t="shared" si="7"/>
        <v>6858.720448663877</v>
      </c>
      <c r="N9" s="66">
        <f t="shared" si="0"/>
        <v>2459460.591155976</v>
      </c>
      <c r="P9" s="66">
        <f t="shared" si="1"/>
        <v>61.15112535520166</v>
      </c>
      <c r="Q9" s="67">
        <f>-PV(BondCalculator!$B$9/12,B9,0,1,0)</f>
        <v>0.9705180779696584</v>
      </c>
      <c r="S9" s="68">
        <f t="shared" si="2"/>
        <v>59.34827264541195</v>
      </c>
    </row>
    <row r="10" spans="1:19" ht="15" customHeight="1">
      <c r="A10" s="63" t="s">
        <v>95</v>
      </c>
      <c r="B10" s="74">
        <v>7</v>
      </c>
      <c r="C10" s="64">
        <f t="shared" si="8"/>
        <v>2471643.307857365</v>
      </c>
      <c r="D10" s="64">
        <f>IF(G9=0,0,IF(G9&lt;BondCalculator!$B$12,G9+E10,BondCalculator!$B$12))</f>
        <v>19759.39962294191</v>
      </c>
      <c r="E10" s="64">
        <f>C10*BondCalculator!$B$5/12</f>
        <v>14932.844984971578</v>
      </c>
      <c r="F10" s="64">
        <f t="shared" si="3"/>
        <v>4826.554637970332</v>
      </c>
      <c r="G10" s="64">
        <f t="shared" si="4"/>
        <v>2466816.7532193945</v>
      </c>
      <c r="H10" s="76">
        <f t="shared" si="5"/>
        <v>0.9867267012877577</v>
      </c>
      <c r="J10" s="66">
        <f t="shared" si="6"/>
        <v>2459460.591155976</v>
      </c>
      <c r="K10" s="66">
        <f>IF(N9=0,0,IF(N9&lt;BondCalculator!$B$12+BondCalculator!$B$7,N9+L10,BondCalculator!$B$12+BondCalculator!$B$7))</f>
        <v>21759.39962294191</v>
      </c>
      <c r="L10" s="66">
        <f>J10*BondCalculator!$B$5/12</f>
        <v>14859.241071567354</v>
      </c>
      <c r="M10" s="66">
        <f t="shared" si="7"/>
        <v>6900.158551374556</v>
      </c>
      <c r="N10" s="66">
        <f t="shared" si="0"/>
        <v>2452560.4326046016</v>
      </c>
      <c r="P10" s="66">
        <f t="shared" si="1"/>
        <v>73.60391340422393</v>
      </c>
      <c r="Q10" s="67">
        <f>-PV(BondCalculator!$B$9/12,B10,0,1,0)</f>
        <v>0.9656896298205556</v>
      </c>
      <c r="S10" s="68">
        <f t="shared" si="2"/>
        <v>71.07853588866924</v>
      </c>
    </row>
    <row r="11" spans="1:19" ht="15" customHeight="1">
      <c r="A11" s="63" t="s">
        <v>95</v>
      </c>
      <c r="B11" s="74">
        <v>8</v>
      </c>
      <c r="C11" s="64">
        <f t="shared" si="8"/>
        <v>2466816.7532193945</v>
      </c>
      <c r="D11" s="64">
        <f>IF(G10=0,0,IF(G10&lt;BondCalculator!$B$12,G10+E11,BondCalculator!$B$12))</f>
        <v>19759.39962294191</v>
      </c>
      <c r="E11" s="64">
        <f>C11*BondCalculator!$B$5/12</f>
        <v>14903.684550700507</v>
      </c>
      <c r="F11" s="64">
        <f t="shared" si="3"/>
        <v>4855.715072241403</v>
      </c>
      <c r="G11" s="64">
        <f t="shared" si="4"/>
        <v>2461961.038147153</v>
      </c>
      <c r="H11" s="76">
        <f t="shared" si="5"/>
        <v>0.9847844152588612</v>
      </c>
      <c r="J11" s="66">
        <f t="shared" si="6"/>
        <v>2452560.4326046016</v>
      </c>
      <c r="K11" s="66">
        <f>IF(N10=0,0,IF(N10&lt;BondCalculator!$B$12+BondCalculator!$B$7,N10+L11,BondCalculator!$B$12+BondCalculator!$B$7))</f>
        <v>21759.39962294191</v>
      </c>
      <c r="L11" s="66">
        <f>J11*BondCalculator!$B$5/12</f>
        <v>14817.5526136528</v>
      </c>
      <c r="M11" s="66">
        <f t="shared" si="7"/>
        <v>6941.847009289109</v>
      </c>
      <c r="N11" s="66">
        <f t="shared" si="0"/>
        <v>2445618.5855953125</v>
      </c>
      <c r="P11" s="66">
        <f t="shared" si="1"/>
        <v>86.13193704770674</v>
      </c>
      <c r="Q11" s="67">
        <f>-PV(BondCalculator!$B$9/12,B11,0,1,0)</f>
        <v>0.960885203801548</v>
      </c>
      <c r="S11" s="68">
        <f t="shared" si="2"/>
        <v>82.7629038839078</v>
      </c>
    </row>
    <row r="12" spans="1:19" ht="15" customHeight="1">
      <c r="A12" s="63" t="s">
        <v>95</v>
      </c>
      <c r="B12" s="74">
        <v>9</v>
      </c>
      <c r="C12" s="64">
        <f t="shared" si="8"/>
        <v>2461961.038147153</v>
      </c>
      <c r="D12" s="64">
        <f>IF(G11=0,0,IF(G11&lt;BondCalculator!$B$12,G11+E12,BondCalculator!$B$12))</f>
        <v>19759.39962294191</v>
      </c>
      <c r="E12" s="64">
        <f>C12*BondCalculator!$B$5/12</f>
        <v>14874.347938805715</v>
      </c>
      <c r="F12" s="64">
        <f t="shared" si="3"/>
        <v>4885.051684136195</v>
      </c>
      <c r="G12" s="64">
        <f t="shared" si="4"/>
        <v>2457075.986463017</v>
      </c>
      <c r="H12" s="76">
        <f t="shared" si="5"/>
        <v>0.9828303945852067</v>
      </c>
      <c r="J12" s="66">
        <f t="shared" si="6"/>
        <v>2445618.5855953125</v>
      </c>
      <c r="K12" s="66">
        <f>IF(N11=0,0,IF(N11&lt;BondCalculator!$B$12+BondCalculator!$B$7,N11+L12,BondCalculator!$B$12+BondCalculator!$B$7))</f>
        <v>21759.39962294191</v>
      </c>
      <c r="L12" s="66">
        <f>J12*BondCalculator!$B$5/12</f>
        <v>14775.612287971679</v>
      </c>
      <c r="M12" s="66">
        <f t="shared" si="7"/>
        <v>6983.787334970231</v>
      </c>
      <c r="N12" s="66">
        <f t="shared" si="0"/>
        <v>2438634.7982603423</v>
      </c>
      <c r="P12" s="66">
        <f t="shared" si="1"/>
        <v>98.73565083403628</v>
      </c>
      <c r="Q12" s="67">
        <f>-PV(BondCalculator!$B$9/12,B12,0,1,0)</f>
        <v>0.9561046803995503</v>
      </c>
      <c r="S12" s="68">
        <f t="shared" si="2"/>
        <v>94.40161788471785</v>
      </c>
    </row>
    <row r="13" spans="1:19" ht="15" customHeight="1">
      <c r="A13" s="63" t="s">
        <v>95</v>
      </c>
      <c r="B13" s="74">
        <v>10</v>
      </c>
      <c r="C13" s="64">
        <f t="shared" si="8"/>
        <v>2457075.986463017</v>
      </c>
      <c r="D13" s="64">
        <f>IF(G12=0,0,IF(G12&lt;BondCalculator!$B$12,G12+E13,BondCalculator!$B$12))</f>
        <v>19759.39962294191</v>
      </c>
      <c r="E13" s="64">
        <f>C13*BondCalculator!$B$5/12</f>
        <v>14844.834084880726</v>
      </c>
      <c r="F13" s="64">
        <f t="shared" si="3"/>
        <v>4914.565538061184</v>
      </c>
      <c r="G13" s="64">
        <f t="shared" si="4"/>
        <v>2452161.4209249555</v>
      </c>
      <c r="H13" s="76">
        <f t="shared" si="5"/>
        <v>0.9808645683699823</v>
      </c>
      <c r="J13" s="66">
        <f t="shared" si="6"/>
        <v>2438634.7982603423</v>
      </c>
      <c r="K13" s="66">
        <f>IF(N12=0,0,IF(N12&lt;BondCalculator!$B$12+BondCalculator!$B$7,N12+L13,BondCalculator!$B$12+BondCalculator!$B$7))</f>
        <v>21759.39962294191</v>
      </c>
      <c r="L13" s="66">
        <f>J13*BondCalculator!$B$5/12</f>
        <v>14733.4185728229</v>
      </c>
      <c r="M13" s="66">
        <f t="shared" si="7"/>
        <v>7025.9810501190095</v>
      </c>
      <c r="N13" s="66">
        <f t="shared" si="0"/>
        <v>2431608.8172102235</v>
      </c>
      <c r="P13" s="66">
        <f t="shared" si="1"/>
        <v>111.41551205782525</v>
      </c>
      <c r="Q13" s="67">
        <f>-PV(BondCalculator!$B$9/12,B13,0,1,0)</f>
        <v>0.9513479406960701</v>
      </c>
      <c r="S13" s="68">
        <f t="shared" si="2"/>
        <v>105.99491795781022</v>
      </c>
    </row>
    <row r="14" spans="1:19" ht="15" customHeight="1">
      <c r="A14" s="63" t="s">
        <v>95</v>
      </c>
      <c r="B14" s="74">
        <v>11</v>
      </c>
      <c r="C14" s="64">
        <f t="shared" si="8"/>
        <v>2452161.4209249555</v>
      </c>
      <c r="D14" s="64">
        <f>IF(G13=0,0,IF(G13&lt;BondCalculator!$B$12,G13+E14,BondCalculator!$B$12))</f>
        <v>19759.39962294191</v>
      </c>
      <c r="E14" s="64">
        <f>C14*BondCalculator!$B$5/12</f>
        <v>14815.141918088271</v>
      </c>
      <c r="F14" s="64">
        <f t="shared" si="3"/>
        <v>4944.257704853639</v>
      </c>
      <c r="G14" s="64">
        <f t="shared" si="4"/>
        <v>2447217.163220102</v>
      </c>
      <c r="H14" s="76">
        <f t="shared" si="5"/>
        <v>0.9788868652880408</v>
      </c>
      <c r="J14" s="66">
        <f t="shared" si="6"/>
        <v>2431608.8172102235</v>
      </c>
      <c r="K14" s="66">
        <f>IF(N13=0,0,IF(N13&lt;BondCalculator!$B$12+BondCalculator!$B$7,N13+L14,BondCalculator!$B$12+BondCalculator!$B$7))</f>
        <v>21759.39962294191</v>
      </c>
      <c r="L14" s="66">
        <f>J14*BondCalculator!$B$5/12</f>
        <v>14690.969937311767</v>
      </c>
      <c r="M14" s="66">
        <f t="shared" si="7"/>
        <v>7068.429685630143</v>
      </c>
      <c r="N14" s="66">
        <f t="shared" si="0"/>
        <v>2424540.387524593</v>
      </c>
      <c r="P14" s="66">
        <f t="shared" si="1"/>
        <v>124.17198077650391</v>
      </c>
      <c r="Q14" s="67">
        <f>-PV(BondCalculator!$B$9/12,B14,0,1,0)</f>
        <v>0.946614866364249</v>
      </c>
      <c r="S14" s="68">
        <f t="shared" si="2"/>
        <v>117.54304298893435</v>
      </c>
    </row>
    <row r="15" spans="1:19" ht="15" customHeight="1">
      <c r="A15" s="63" t="s">
        <v>95</v>
      </c>
      <c r="B15" s="74">
        <v>12</v>
      </c>
      <c r="C15" s="64">
        <f t="shared" si="8"/>
        <v>2447217.163220102</v>
      </c>
      <c r="D15" s="64">
        <f>IF(G14=0,0,IF(G14&lt;BondCalculator!$B$12,G14+E15,BondCalculator!$B$12))</f>
        <v>19759.39962294191</v>
      </c>
      <c r="E15" s="64">
        <f>C15*BondCalculator!$B$5/12</f>
        <v>14785.270361121447</v>
      </c>
      <c r="F15" s="64">
        <f t="shared" si="3"/>
        <v>4974.1292618204625</v>
      </c>
      <c r="G15" s="64">
        <f t="shared" si="4"/>
        <v>2442243.0339582814</v>
      </c>
      <c r="H15" s="76">
        <f t="shared" si="5"/>
        <v>0.9768972135833126</v>
      </c>
      <c r="J15" s="66">
        <f t="shared" si="6"/>
        <v>2424540.387524593</v>
      </c>
      <c r="K15" s="66">
        <f>IF(N14=0,0,IF(N14&lt;BondCalculator!$B$12+BondCalculator!$B$7,N14+L15,BondCalculator!$B$12+BondCalculator!$B$7))</f>
        <v>21759.39962294191</v>
      </c>
      <c r="L15" s="66">
        <f>J15*BondCalculator!$B$5/12</f>
        <v>14648.264841294416</v>
      </c>
      <c r="M15" s="66">
        <f t="shared" si="7"/>
        <v>7111.134781647494</v>
      </c>
      <c r="N15" s="66">
        <f t="shared" si="0"/>
        <v>2417429.2527429457</v>
      </c>
      <c r="P15" s="66">
        <f t="shared" si="1"/>
        <v>137.0055198270311</v>
      </c>
      <c r="Q15" s="67">
        <f>-PV(BondCalculator!$B$9/12,B15,0,1,0)</f>
        <v>0.9419053396659197</v>
      </c>
      <c r="S15" s="68">
        <f t="shared" si="2"/>
        <v>129.0462306887856</v>
      </c>
    </row>
    <row r="16" spans="1:19" ht="15" customHeight="1">
      <c r="A16" s="63" t="s">
        <v>96</v>
      </c>
      <c r="B16" s="74">
        <v>13</v>
      </c>
      <c r="C16" s="64">
        <f t="shared" si="8"/>
        <v>2442243.0339582814</v>
      </c>
      <c r="D16" s="64">
        <f>IF(G15=0,0,IF(G15&lt;BondCalculator!$B$12,G15+E16,BondCalculator!$B$12))</f>
        <v>19759.39962294191</v>
      </c>
      <c r="E16" s="64">
        <f>C16*BondCalculator!$B$5/12</f>
        <v>14755.218330164615</v>
      </c>
      <c r="F16" s="64">
        <f t="shared" si="3"/>
        <v>5004.181292777295</v>
      </c>
      <c r="G16" s="64">
        <f t="shared" si="4"/>
        <v>2437238.852665504</v>
      </c>
      <c r="H16" s="76">
        <f t="shared" si="5"/>
        <v>0.9748955410662016</v>
      </c>
      <c r="J16" s="66">
        <f t="shared" si="6"/>
        <v>2417429.2527429457</v>
      </c>
      <c r="K16" s="66">
        <f>IF(N15=0,0,IF(N15&lt;BondCalculator!$B$12+BondCalculator!$B$7,N15+L16,BondCalculator!$B$12+BondCalculator!$B$7))</f>
        <v>21759.39962294191</v>
      </c>
      <c r="L16" s="66">
        <f>J16*BondCalculator!$B$5/12</f>
        <v>14605.301735321962</v>
      </c>
      <c r="M16" s="66">
        <f t="shared" si="7"/>
        <v>7154.097887619948</v>
      </c>
      <c r="N16" s="66">
        <f t="shared" si="0"/>
        <v>2410275.154855326</v>
      </c>
      <c r="P16" s="66">
        <f t="shared" si="1"/>
        <v>149.91659484265256</v>
      </c>
      <c r="Q16" s="67">
        <f>-PV(BondCalculator!$B$9/12,B16,0,1,0)</f>
        <v>0.9372192434486764</v>
      </c>
      <c r="S16" s="68">
        <f t="shared" si="2"/>
        <v>140.50471759883257</v>
      </c>
    </row>
    <row r="17" spans="1:19" ht="15" customHeight="1">
      <c r="A17" s="63" t="s">
        <v>96</v>
      </c>
      <c r="B17" s="74">
        <v>14</v>
      </c>
      <c r="C17" s="64">
        <f t="shared" si="8"/>
        <v>2437238.852665504</v>
      </c>
      <c r="D17" s="64">
        <f>IF(G16=0,0,IF(G16&lt;BondCalculator!$B$12,G16+E17,BondCalculator!$B$12))</f>
        <v>19759.39962294191</v>
      </c>
      <c r="E17" s="64">
        <f>C17*BondCalculator!$B$5/12</f>
        <v>14724.984734854086</v>
      </c>
      <c r="F17" s="64">
        <f t="shared" si="3"/>
        <v>5034.414888087824</v>
      </c>
      <c r="G17" s="64">
        <f t="shared" si="4"/>
        <v>2432204.4377774163</v>
      </c>
      <c r="H17" s="76">
        <f t="shared" si="5"/>
        <v>0.9728817751109665</v>
      </c>
      <c r="J17" s="66">
        <f t="shared" si="6"/>
        <v>2410275.154855326</v>
      </c>
      <c r="K17" s="66">
        <f>IF(N16=0,0,IF(N16&lt;BondCalculator!$B$12+BondCalculator!$B$7,N16+L17,BondCalculator!$B$12+BondCalculator!$B$7))</f>
        <v>21759.39962294191</v>
      </c>
      <c r="L17" s="66">
        <f>J17*BondCalculator!$B$5/12</f>
        <v>14562.079060584258</v>
      </c>
      <c r="M17" s="66">
        <f t="shared" si="7"/>
        <v>7197.320562357652</v>
      </c>
      <c r="N17" s="66">
        <f t="shared" si="0"/>
        <v>2403077.8342929683</v>
      </c>
      <c r="P17" s="66">
        <f t="shared" si="1"/>
        <v>162.90567426982852</v>
      </c>
      <c r="Q17" s="67">
        <f>-PV(BondCalculator!$B$9/12,B17,0,1,0)</f>
        <v>0.9325564611429618</v>
      </c>
      <c r="S17" s="68">
        <f t="shared" si="2"/>
        <v>151.91873909717933</v>
      </c>
    </row>
    <row r="18" spans="1:19" ht="15" customHeight="1">
      <c r="A18" s="63" t="s">
        <v>96</v>
      </c>
      <c r="B18" s="74">
        <v>15</v>
      </c>
      <c r="C18" s="64">
        <f t="shared" si="8"/>
        <v>2432204.4377774163</v>
      </c>
      <c r="D18" s="64">
        <f>IF(G17=0,0,IF(G17&lt;BondCalculator!$B$12,G17+E18,BondCalculator!$B$12))</f>
        <v>19759.39962294191</v>
      </c>
      <c r="E18" s="64">
        <f>C18*BondCalculator!$B$5/12</f>
        <v>14694.568478238556</v>
      </c>
      <c r="F18" s="64">
        <f t="shared" si="3"/>
        <v>5064.831144703354</v>
      </c>
      <c r="G18" s="64">
        <f t="shared" si="4"/>
        <v>2427139.6066327128</v>
      </c>
      <c r="H18" s="76">
        <f t="shared" si="5"/>
        <v>0.9708558426530851</v>
      </c>
      <c r="J18" s="66">
        <f t="shared" si="6"/>
        <v>2403077.8342929683</v>
      </c>
      <c r="K18" s="66">
        <f>IF(N17=0,0,IF(N17&lt;BondCalculator!$B$12+BondCalculator!$B$7,N17+L18,BondCalculator!$B$12+BondCalculator!$B$7))</f>
        <v>21759.39962294191</v>
      </c>
      <c r="L18" s="66">
        <f>J18*BondCalculator!$B$5/12</f>
        <v>14518.59524885335</v>
      </c>
      <c r="M18" s="66">
        <f t="shared" si="7"/>
        <v>7240.8043740885605</v>
      </c>
      <c r="N18" s="66">
        <f t="shared" si="0"/>
        <v>2395837.0299188797</v>
      </c>
      <c r="P18" s="66">
        <f t="shared" si="1"/>
        <v>175.97322938520665</v>
      </c>
      <c r="Q18" s="67">
        <f>-PV(BondCalculator!$B$9/12,B18,0,1,0)</f>
        <v>0.9279168767591661</v>
      </c>
      <c r="S18" s="68">
        <f t="shared" si="2"/>
        <v>163.28852940434527</v>
      </c>
    </row>
    <row r="19" spans="1:19" ht="15" customHeight="1">
      <c r="A19" s="63" t="s">
        <v>96</v>
      </c>
      <c r="B19" s="74">
        <v>16</v>
      </c>
      <c r="C19" s="64">
        <f t="shared" si="8"/>
        <v>2427139.6066327128</v>
      </c>
      <c r="D19" s="64">
        <f>IF(G18=0,0,IF(G18&lt;BondCalculator!$B$12,G18+E19,BondCalculator!$B$12))</f>
        <v>19759.39962294191</v>
      </c>
      <c r="E19" s="64">
        <f>C19*BondCalculator!$B$5/12</f>
        <v>14663.968456739305</v>
      </c>
      <c r="F19" s="64">
        <f t="shared" si="3"/>
        <v>5095.431166202605</v>
      </c>
      <c r="G19" s="64">
        <f t="shared" si="4"/>
        <v>2422044.17546651</v>
      </c>
      <c r="H19" s="76">
        <f t="shared" si="5"/>
        <v>0.968817670186604</v>
      </c>
      <c r="J19" s="66">
        <f t="shared" si="6"/>
        <v>2395837.0299188797</v>
      </c>
      <c r="K19" s="66">
        <f>IF(N18=0,0,IF(N18&lt;BondCalculator!$B$12+BondCalculator!$B$7,N18+L19,BondCalculator!$B$12+BondCalculator!$B$7))</f>
        <v>21759.39962294191</v>
      </c>
      <c r="L19" s="66">
        <f>J19*BondCalculator!$B$5/12</f>
        <v>14474.848722426565</v>
      </c>
      <c r="M19" s="66">
        <f t="shared" si="7"/>
        <v>7284.550900515345</v>
      </c>
      <c r="N19" s="66">
        <f t="shared" si="0"/>
        <v>2388552.4790183646</v>
      </c>
      <c r="P19" s="66">
        <f t="shared" si="1"/>
        <v>189.11973431274055</v>
      </c>
      <c r="Q19" s="67">
        <f>-PV(BondCalculator!$B$9/12,B19,0,1,0)</f>
        <v>0.9233003748847425</v>
      </c>
      <c r="S19" s="68">
        <f t="shared" si="2"/>
        <v>174.61432158905623</v>
      </c>
    </row>
    <row r="20" spans="1:19" ht="15" customHeight="1">
      <c r="A20" s="63" t="s">
        <v>96</v>
      </c>
      <c r="B20" s="74">
        <v>17</v>
      </c>
      <c r="C20" s="64">
        <f t="shared" si="8"/>
        <v>2422044.17546651</v>
      </c>
      <c r="D20" s="64">
        <f>IF(G19=0,0,IF(G19&lt;BondCalculator!$B$12,G19+E20,BondCalculator!$B$12))</f>
        <v>19759.39962294191</v>
      </c>
      <c r="E20" s="64">
        <f>C20*BondCalculator!$B$5/12</f>
        <v>14633.183560110163</v>
      </c>
      <c r="F20" s="64">
        <f t="shared" si="3"/>
        <v>5126.216062831747</v>
      </c>
      <c r="G20" s="64">
        <f t="shared" si="4"/>
        <v>2416917.9594036783</v>
      </c>
      <c r="H20" s="76">
        <f t="shared" si="5"/>
        <v>0.9667671837614713</v>
      </c>
      <c r="J20" s="66">
        <f t="shared" si="6"/>
        <v>2388552.4790183646</v>
      </c>
      <c r="K20" s="66">
        <f>IF(N19=0,0,IF(N19&lt;BondCalculator!$B$12+BondCalculator!$B$7,N19+L20,BondCalculator!$B$12+BondCalculator!$B$7))</f>
        <v>21759.39962294191</v>
      </c>
      <c r="L20" s="66">
        <f>J20*BondCalculator!$B$5/12</f>
        <v>14430.837894069286</v>
      </c>
      <c r="M20" s="66">
        <f t="shared" si="7"/>
        <v>7328.561728872624</v>
      </c>
      <c r="N20" s="66">
        <f t="shared" si="0"/>
        <v>2381223.9172894917</v>
      </c>
      <c r="P20" s="66">
        <f t="shared" si="1"/>
        <v>202.3456660408774</v>
      </c>
      <c r="Q20" s="67">
        <f>-PV(BondCalculator!$B$9/12,B20,0,1,0)</f>
        <v>0.9187068406813359</v>
      </c>
      <c r="S20" s="68">
        <f t="shared" si="2"/>
        <v>185.89634757397516</v>
      </c>
    </row>
    <row r="21" spans="1:19" ht="15" customHeight="1">
      <c r="A21" s="63" t="s">
        <v>96</v>
      </c>
      <c r="B21" s="74">
        <v>18</v>
      </c>
      <c r="C21" s="64">
        <f t="shared" si="8"/>
        <v>2416917.9594036783</v>
      </c>
      <c r="D21" s="64">
        <f>IF(G20=0,0,IF(G20&lt;BondCalculator!$B$12,G20+E21,BondCalculator!$B$12))</f>
        <v>19759.39962294191</v>
      </c>
      <c r="E21" s="64">
        <f>C21*BondCalculator!$B$5/12</f>
        <v>14602.212671397223</v>
      </c>
      <c r="F21" s="64">
        <f t="shared" si="3"/>
        <v>5157.186951544687</v>
      </c>
      <c r="G21" s="64">
        <f t="shared" si="4"/>
        <v>2411760.7724521337</v>
      </c>
      <c r="H21" s="76">
        <f t="shared" si="5"/>
        <v>0.9647043089808535</v>
      </c>
      <c r="J21" s="66">
        <f t="shared" si="6"/>
        <v>2381223.9172894917</v>
      </c>
      <c r="K21" s="66">
        <f>IF(N20=0,0,IF(N20&lt;BondCalculator!$B$12+BondCalculator!$B$7,N20+L21,BondCalculator!$B$12+BondCalculator!$B$7))</f>
        <v>21759.39962294191</v>
      </c>
      <c r="L21" s="66">
        <f>J21*BondCalculator!$B$5/12</f>
        <v>14386.561166957346</v>
      </c>
      <c r="M21" s="66">
        <f t="shared" si="7"/>
        <v>7372.838455984564</v>
      </c>
      <c r="N21" s="66">
        <f t="shared" si="0"/>
        <v>2373851.0788335074</v>
      </c>
      <c r="P21" s="66">
        <f t="shared" si="1"/>
        <v>215.6515044398766</v>
      </c>
      <c r="Q21" s="67">
        <f>-PV(BondCalculator!$B$9/12,B21,0,1,0)</f>
        <v>0.9141361598819265</v>
      </c>
      <c r="S21" s="68">
        <f t="shared" si="2"/>
        <v>197.13483814142901</v>
      </c>
    </row>
    <row r="22" spans="1:19" ht="15" customHeight="1">
      <c r="A22" s="63" t="s">
        <v>96</v>
      </c>
      <c r="B22" s="74">
        <v>19</v>
      </c>
      <c r="C22" s="64">
        <f t="shared" si="8"/>
        <v>2411760.7724521337</v>
      </c>
      <c r="D22" s="64">
        <f>IF(G21=0,0,IF(G21&lt;BondCalculator!$B$12,G21+E22,BondCalculator!$B$12))</f>
        <v>19759.39962294191</v>
      </c>
      <c r="E22" s="64">
        <f>C22*BondCalculator!$B$5/12</f>
        <v>14571.054666898308</v>
      </c>
      <c r="F22" s="64">
        <f t="shared" si="3"/>
        <v>5188.344956043602</v>
      </c>
      <c r="G22" s="64">
        <f t="shared" si="4"/>
        <v>2406572.42749609</v>
      </c>
      <c r="H22" s="76">
        <f t="shared" si="5"/>
        <v>0.962628970998436</v>
      </c>
      <c r="J22" s="66">
        <f t="shared" si="6"/>
        <v>2373851.0788335074</v>
      </c>
      <c r="K22" s="66">
        <f>IF(N21=0,0,IF(N21&lt;BondCalculator!$B$12+BondCalculator!$B$7,N21+L22,BondCalculator!$B$12+BondCalculator!$B$7))</f>
        <v>21759.39962294191</v>
      </c>
      <c r="L22" s="66">
        <f>J22*BondCalculator!$B$5/12</f>
        <v>14342.016934619105</v>
      </c>
      <c r="M22" s="66">
        <f t="shared" si="7"/>
        <v>7417.382688322805</v>
      </c>
      <c r="N22" s="66">
        <f t="shared" si="0"/>
        <v>2366433.6961451843</v>
      </c>
      <c r="P22" s="66">
        <f t="shared" si="1"/>
        <v>229.03773227920283</v>
      </c>
      <c r="Q22" s="67">
        <f>-PV(BondCalculator!$B$9/12,B22,0,1,0)</f>
        <v>0.9095882187879867</v>
      </c>
      <c r="S22" s="68">
        <f t="shared" si="2"/>
        <v>208.33002293907987</v>
      </c>
    </row>
    <row r="23" spans="1:19" ht="15" customHeight="1">
      <c r="A23" s="63" t="s">
        <v>96</v>
      </c>
      <c r="B23" s="74">
        <v>20</v>
      </c>
      <c r="C23" s="64">
        <f t="shared" si="8"/>
        <v>2406572.42749609</v>
      </c>
      <c r="D23" s="64">
        <f>IF(G22=0,0,IF(G22&lt;BondCalculator!$B$12,G22+E23,BondCalculator!$B$12))</f>
        <v>19759.39962294191</v>
      </c>
      <c r="E23" s="64">
        <f>C23*BondCalculator!$B$5/12</f>
        <v>14539.70841612221</v>
      </c>
      <c r="F23" s="64">
        <f t="shared" si="3"/>
        <v>5219.6912068197</v>
      </c>
      <c r="G23" s="64">
        <f t="shared" si="4"/>
        <v>2401352.73628927</v>
      </c>
      <c r="H23" s="76">
        <f t="shared" si="5"/>
        <v>0.9605410945157081</v>
      </c>
      <c r="J23" s="66">
        <f t="shared" si="6"/>
        <v>2366433.6961451843</v>
      </c>
      <c r="K23" s="66">
        <f>IF(N22=0,0,IF(N22&lt;BondCalculator!$B$12+BondCalculator!$B$7,N22+L23,BondCalculator!$B$12+BondCalculator!$B$7))</f>
        <v>21759.39962294191</v>
      </c>
      <c r="L23" s="66">
        <f>J23*BondCalculator!$B$5/12</f>
        <v>14297.203580877154</v>
      </c>
      <c r="M23" s="66">
        <f t="shared" si="7"/>
        <v>7462.196042064756</v>
      </c>
      <c r="N23" s="66">
        <f t="shared" si="0"/>
        <v>2358971.5001031198</v>
      </c>
      <c r="P23" s="66">
        <f t="shared" si="1"/>
        <v>242.5048352450558</v>
      </c>
      <c r="Q23" s="67">
        <f>-PV(BondCalculator!$B$9/12,B23,0,1,0)</f>
        <v>0.9050629042666535</v>
      </c>
      <c r="S23" s="68">
        <f t="shared" si="2"/>
        <v>219.4821304855965</v>
      </c>
    </row>
    <row r="24" spans="1:19" ht="15" customHeight="1">
      <c r="A24" s="63" t="s">
        <v>96</v>
      </c>
      <c r="B24" s="74">
        <v>21</v>
      </c>
      <c r="C24" s="64">
        <f t="shared" si="8"/>
        <v>2401352.73628927</v>
      </c>
      <c r="D24" s="64">
        <f>IF(G23=0,0,IF(G23&lt;BondCalculator!$B$12,G23+E24,BondCalculator!$B$12))</f>
        <v>19759.39962294191</v>
      </c>
      <c r="E24" s="64">
        <f>C24*BondCalculator!$B$5/12</f>
        <v>14508.172781747673</v>
      </c>
      <c r="F24" s="64">
        <f t="shared" si="3"/>
        <v>5251.226841194237</v>
      </c>
      <c r="G24" s="64">
        <f t="shared" si="4"/>
        <v>2396101.509448076</v>
      </c>
      <c r="H24" s="76">
        <f t="shared" si="5"/>
        <v>0.9584406037792305</v>
      </c>
      <c r="J24" s="66">
        <f t="shared" si="6"/>
        <v>2358971.5001031198</v>
      </c>
      <c r="K24" s="66">
        <f>IF(N23=0,0,IF(N23&lt;BondCalculator!$B$12+BondCalculator!$B$7,N23+L24,BondCalculator!$B$12+BondCalculator!$B$7))</f>
        <v>21759.39962294191</v>
      </c>
      <c r="L24" s="66">
        <f>J24*BondCalculator!$B$5/12</f>
        <v>14252.11947978968</v>
      </c>
      <c r="M24" s="66">
        <f t="shared" si="7"/>
        <v>7507.280143152229</v>
      </c>
      <c r="N24" s="66">
        <f t="shared" si="0"/>
        <v>2351464.2199599673</v>
      </c>
      <c r="P24" s="66">
        <f t="shared" si="1"/>
        <v>256.0533019579925</v>
      </c>
      <c r="Q24" s="67">
        <f>-PV(BondCalculator!$B$9/12,B24,0,1,0)</f>
        <v>0.9005601037479142</v>
      </c>
      <c r="S24" s="68">
        <f t="shared" si="2"/>
        <v>230.59138817628573</v>
      </c>
    </row>
    <row r="25" spans="1:19" ht="15" customHeight="1">
      <c r="A25" s="63" t="s">
        <v>96</v>
      </c>
      <c r="B25" s="74">
        <v>22</v>
      </c>
      <c r="C25" s="64">
        <f t="shared" si="8"/>
        <v>2396101.509448076</v>
      </c>
      <c r="D25" s="64">
        <f>IF(G24=0,0,IF(G24&lt;BondCalculator!$B$12,G24+E25,BondCalculator!$B$12))</f>
        <v>19759.39962294191</v>
      </c>
      <c r="E25" s="64">
        <f>C25*BondCalculator!$B$5/12</f>
        <v>14476.446619582124</v>
      </c>
      <c r="F25" s="64">
        <f t="shared" si="3"/>
        <v>5282.953003359786</v>
      </c>
      <c r="G25" s="64">
        <f t="shared" si="4"/>
        <v>2390818.556444716</v>
      </c>
      <c r="H25" s="76">
        <f t="shared" si="5"/>
        <v>0.9563274225778865</v>
      </c>
      <c r="J25" s="66">
        <f t="shared" si="6"/>
        <v>2351464.2199599673</v>
      </c>
      <c r="K25" s="66">
        <f>IF(N24=0,0,IF(N24&lt;BondCalculator!$B$12+BondCalculator!$B$7,N24+L25,BondCalculator!$B$12+BondCalculator!$B$7))</f>
        <v>21759.39962294191</v>
      </c>
      <c r="L25" s="66">
        <f>J25*BondCalculator!$B$5/12</f>
        <v>14206.762995591467</v>
      </c>
      <c r="M25" s="66">
        <f t="shared" si="7"/>
        <v>7552.636627350443</v>
      </c>
      <c r="N25" s="66">
        <f t="shared" si="0"/>
        <v>2343911.583332617</v>
      </c>
      <c r="P25" s="66">
        <f t="shared" si="1"/>
        <v>269.683623990657</v>
      </c>
      <c r="Q25" s="67">
        <f>-PV(BondCalculator!$B$9/12,B25,0,1,0)</f>
        <v>0.8960797052218052</v>
      </c>
      <c r="S25" s="68">
        <f t="shared" si="2"/>
        <v>241.6580222886961</v>
      </c>
    </row>
    <row r="26" spans="1:19" ht="15" customHeight="1">
      <c r="A26" s="63" t="s">
        <v>96</v>
      </c>
      <c r="B26" s="74">
        <v>23</v>
      </c>
      <c r="C26" s="64">
        <f t="shared" si="8"/>
        <v>2390818.556444716</v>
      </c>
      <c r="D26" s="64">
        <f>IF(G25=0,0,IF(G25&lt;BondCalculator!$B$12,G25+E26,BondCalculator!$B$12))</f>
        <v>19759.39962294191</v>
      </c>
      <c r="E26" s="64">
        <f>C26*BondCalculator!$B$5/12</f>
        <v>14444.528778520158</v>
      </c>
      <c r="F26" s="64">
        <f t="shared" si="3"/>
        <v>5314.870844421752</v>
      </c>
      <c r="G26" s="64">
        <f t="shared" si="4"/>
        <v>2385503.6856002943</v>
      </c>
      <c r="H26" s="76">
        <f t="shared" si="5"/>
        <v>0.9542014742401177</v>
      </c>
      <c r="J26" s="66">
        <f t="shared" si="6"/>
        <v>2343911.583332617</v>
      </c>
      <c r="K26" s="66">
        <f>IF(N25=0,0,IF(N25&lt;BondCalculator!$B$12+BondCalculator!$B$7,N25+L26,BondCalculator!$B$12+BondCalculator!$B$7))</f>
        <v>21759.39962294191</v>
      </c>
      <c r="L26" s="66">
        <f>J26*BondCalculator!$B$5/12</f>
        <v>14161.132482634559</v>
      </c>
      <c r="M26" s="66">
        <f t="shared" si="7"/>
        <v>7598.267140307351</v>
      </c>
      <c r="N26" s="66">
        <f t="shared" si="0"/>
        <v>2336313.3161923094</v>
      </c>
      <c r="P26" s="66">
        <f t="shared" si="1"/>
        <v>283.3962958855991</v>
      </c>
      <c r="Q26" s="67">
        <f>-PV(BondCalculator!$B$9/12,B26,0,1,0)</f>
        <v>0.8916215972356273</v>
      </c>
      <c r="S26" s="68">
        <f t="shared" si="2"/>
        <v>252.6822579881783</v>
      </c>
    </row>
    <row r="27" spans="1:19" ht="15" customHeight="1">
      <c r="A27" s="63" t="s">
        <v>96</v>
      </c>
      <c r="B27" s="74">
        <v>24</v>
      </c>
      <c r="C27" s="64">
        <f t="shared" si="8"/>
        <v>2385503.6856002943</v>
      </c>
      <c r="D27" s="64">
        <f>IF(G26=0,0,IF(G26&lt;BondCalculator!$B$12,G26+E27,BondCalculator!$B$12))</f>
        <v>19759.39962294191</v>
      </c>
      <c r="E27" s="64">
        <f>C27*BondCalculator!$B$5/12</f>
        <v>14412.418100501776</v>
      </c>
      <c r="F27" s="64">
        <f t="shared" si="3"/>
        <v>5346.981522440134</v>
      </c>
      <c r="G27" s="64">
        <f t="shared" si="4"/>
        <v>2380156.7040778543</v>
      </c>
      <c r="H27" s="76">
        <f t="shared" si="5"/>
        <v>0.9520626816311417</v>
      </c>
      <c r="J27" s="66">
        <f t="shared" si="6"/>
        <v>2336313.3161923094</v>
      </c>
      <c r="K27" s="66">
        <f>IF(N26=0,0,IF(N26&lt;BondCalculator!$B$12+BondCalculator!$B$7,N26+L27,BondCalculator!$B$12+BondCalculator!$B$7))</f>
        <v>21759.39962294191</v>
      </c>
      <c r="L27" s="66">
        <f>J27*BondCalculator!$B$5/12</f>
        <v>14115.226285328536</v>
      </c>
      <c r="M27" s="66">
        <f t="shared" si="7"/>
        <v>7644.173337613374</v>
      </c>
      <c r="N27" s="66">
        <f t="shared" si="0"/>
        <v>2328669.142854696</v>
      </c>
      <c r="P27" s="66">
        <f t="shared" si="1"/>
        <v>297.1918151732407</v>
      </c>
      <c r="Q27" s="67">
        <f>-PV(BondCalculator!$B$9/12,B27,0,1,0)</f>
        <v>0.8871856688911713</v>
      </c>
      <c r="S27" s="68">
        <f t="shared" si="2"/>
        <v>263.6643193334529</v>
      </c>
    </row>
    <row r="28" spans="1:19" ht="15" customHeight="1">
      <c r="A28" s="63" t="s">
        <v>97</v>
      </c>
      <c r="B28" s="74">
        <v>25</v>
      </c>
      <c r="C28" s="64">
        <f t="shared" si="8"/>
        <v>2380156.7040778543</v>
      </c>
      <c r="D28" s="64">
        <f>IF(G27=0,0,IF(G27&lt;BondCalculator!$B$12,G27+E28,BondCalculator!$B$12))</f>
        <v>19759.39962294191</v>
      </c>
      <c r="E28" s="64">
        <f>C28*BondCalculator!$B$5/12</f>
        <v>14380.113420470369</v>
      </c>
      <c r="F28" s="64">
        <f t="shared" si="3"/>
        <v>5379.286202471541</v>
      </c>
      <c r="G28" s="64">
        <f t="shared" si="4"/>
        <v>2374777.4178753826</v>
      </c>
      <c r="H28" s="76">
        <f t="shared" si="5"/>
        <v>0.949910967150153</v>
      </c>
      <c r="J28" s="66">
        <f t="shared" si="6"/>
        <v>2328669.142854696</v>
      </c>
      <c r="K28" s="66">
        <f>IF(N27=0,0,IF(N27&lt;BondCalculator!$B$12+BondCalculator!$B$7,N27+L28,BondCalculator!$B$12+BondCalculator!$B$7))</f>
        <v>21759.39962294191</v>
      </c>
      <c r="L28" s="66">
        <f>J28*BondCalculator!$B$5/12</f>
        <v>14069.042738080454</v>
      </c>
      <c r="M28" s="66">
        <f t="shared" si="7"/>
        <v>7690.356884861456</v>
      </c>
      <c r="N28" s="66">
        <f t="shared" si="0"/>
        <v>2320978.785969835</v>
      </c>
      <c r="P28" s="66">
        <f t="shared" si="1"/>
        <v>311.0706823899145</v>
      </c>
      <c r="Q28" s="67">
        <f>-PV(BondCalculator!$B$9/12,B28,0,1,0)</f>
        <v>0.8827718098419618</v>
      </c>
      <c r="S28" s="68">
        <f t="shared" si="2"/>
        <v>274.60442928211893</v>
      </c>
    </row>
    <row r="29" spans="1:19" ht="15" customHeight="1">
      <c r="A29" s="63" t="s">
        <v>97</v>
      </c>
      <c r="B29" s="74">
        <v>26</v>
      </c>
      <c r="C29" s="64">
        <f t="shared" si="8"/>
        <v>2374777.4178753826</v>
      </c>
      <c r="D29" s="64">
        <f>IF(G28=0,0,IF(G28&lt;BondCalculator!$B$12,G28+E29,BondCalculator!$B$12))</f>
        <v>19759.39962294191</v>
      </c>
      <c r="E29" s="64">
        <f>C29*BondCalculator!$B$5/12</f>
        <v>14347.613566330436</v>
      </c>
      <c r="F29" s="64">
        <f t="shared" si="3"/>
        <v>5411.786056611474</v>
      </c>
      <c r="G29" s="64">
        <f t="shared" si="4"/>
        <v>2369365.631818771</v>
      </c>
      <c r="H29" s="76">
        <f t="shared" si="5"/>
        <v>0.9477462527275083</v>
      </c>
      <c r="J29" s="66">
        <f t="shared" si="6"/>
        <v>2320978.785969835</v>
      </c>
      <c r="K29" s="66">
        <f>IF(N28=0,0,IF(N28&lt;BondCalculator!$B$12+BondCalculator!$B$7,N28+L29,BondCalculator!$B$12+BondCalculator!$B$7))</f>
        <v>21759.39962294191</v>
      </c>
      <c r="L29" s="66">
        <f>J29*BondCalculator!$B$5/12</f>
        <v>14022.580165234418</v>
      </c>
      <c r="M29" s="66">
        <f t="shared" si="7"/>
        <v>7736.819457707492</v>
      </c>
      <c r="N29" s="66">
        <f t="shared" si="0"/>
        <v>2313241.9665121273</v>
      </c>
      <c r="P29" s="66">
        <f t="shared" si="1"/>
        <v>325.03340109601777</v>
      </c>
      <c r="Q29" s="67">
        <f>-PV(BondCalculator!$B$9/12,B29,0,1,0)</f>
        <v>0.8783799102905093</v>
      </c>
      <c r="S29" s="68">
        <f t="shared" si="2"/>
        <v>285.5028096961392</v>
      </c>
    </row>
    <row r="30" spans="1:19" ht="15" customHeight="1">
      <c r="A30" s="63" t="s">
        <v>97</v>
      </c>
      <c r="B30" s="74">
        <v>27</v>
      </c>
      <c r="C30" s="64">
        <f t="shared" si="8"/>
        <v>2369365.631818771</v>
      </c>
      <c r="D30" s="64">
        <f>IF(G29=0,0,IF(G29&lt;BondCalculator!$B$12,G29+E30,BondCalculator!$B$12))</f>
        <v>19759.39962294191</v>
      </c>
      <c r="E30" s="64">
        <f>C30*BondCalculator!$B$5/12</f>
        <v>14314.917358905072</v>
      </c>
      <c r="F30" s="64">
        <f t="shared" si="3"/>
        <v>5444.482264036838</v>
      </c>
      <c r="G30" s="64">
        <f t="shared" si="4"/>
        <v>2363921.149554734</v>
      </c>
      <c r="H30" s="76">
        <f t="shared" si="5"/>
        <v>0.9455684598218936</v>
      </c>
      <c r="J30" s="66">
        <f t="shared" si="6"/>
        <v>2313241.9665121273</v>
      </c>
      <c r="K30" s="66">
        <f>IF(N29=0,0,IF(N29&lt;BondCalculator!$B$12+BondCalculator!$B$7,N29+L30,BondCalculator!$B$12+BondCalculator!$B$7))</f>
        <v>21759.39962294191</v>
      </c>
      <c r="L30" s="66">
        <f>J30*BondCalculator!$B$5/12</f>
        <v>13975.83688101077</v>
      </c>
      <c r="M30" s="66">
        <f t="shared" si="7"/>
        <v>7783.56274193114</v>
      </c>
      <c r="N30" s="66">
        <f t="shared" si="0"/>
        <v>2305458.4037701963</v>
      </c>
      <c r="P30" s="66">
        <f t="shared" si="1"/>
        <v>339.080477894302</v>
      </c>
      <c r="Q30" s="67">
        <f>-PV(BondCalculator!$B$9/12,B30,0,1,0)</f>
        <v>0.8740098609855815</v>
      </c>
      <c r="S30" s="68">
        <f t="shared" si="2"/>
        <v>296.3596813473235</v>
      </c>
    </row>
    <row r="31" spans="1:19" ht="15" customHeight="1">
      <c r="A31" s="63" t="s">
        <v>97</v>
      </c>
      <c r="B31" s="74">
        <v>28</v>
      </c>
      <c r="C31" s="64">
        <f t="shared" si="8"/>
        <v>2363921.149554734</v>
      </c>
      <c r="D31" s="64">
        <f>IF(G30=0,0,IF(G30&lt;BondCalculator!$B$12,G30+E31,BondCalculator!$B$12))</f>
        <v>19759.39962294191</v>
      </c>
      <c r="E31" s="64">
        <f>C31*BondCalculator!$B$5/12</f>
        <v>14282.023611893184</v>
      </c>
      <c r="F31" s="64">
        <f t="shared" si="3"/>
        <v>5477.376011048726</v>
      </c>
      <c r="G31" s="64">
        <f t="shared" si="4"/>
        <v>2358443.773543685</v>
      </c>
      <c r="H31" s="76">
        <f t="shared" si="5"/>
        <v>0.9433775094174741</v>
      </c>
      <c r="J31" s="66">
        <f t="shared" si="6"/>
        <v>2305458.4037701963</v>
      </c>
      <c r="K31" s="66">
        <f>IF(N30=0,0,IF(N30&lt;BondCalculator!$B$12+BondCalculator!$B$7,N30+L31,BondCalculator!$B$12+BondCalculator!$B$7))</f>
        <v>21759.39962294191</v>
      </c>
      <c r="L31" s="66">
        <f>J31*BondCalculator!$B$5/12</f>
        <v>13928.811189444934</v>
      </c>
      <c r="M31" s="66">
        <f t="shared" si="7"/>
        <v>7830.588433496976</v>
      </c>
      <c r="N31" s="66">
        <f t="shared" si="0"/>
        <v>2297627.815336699</v>
      </c>
      <c r="P31" s="66">
        <f t="shared" si="1"/>
        <v>353.21242244825044</v>
      </c>
      <c r="Q31" s="67">
        <f>-PV(BondCalculator!$B$9/12,B31,0,1,0)</f>
        <v>0.8696615532194844</v>
      </c>
      <c r="S31" s="68">
        <f t="shared" si="2"/>
        <v>307.17526392276216</v>
      </c>
    </row>
    <row r="32" spans="1:19" ht="15" customHeight="1">
      <c r="A32" s="63" t="s">
        <v>97</v>
      </c>
      <c r="B32" s="74">
        <v>29</v>
      </c>
      <c r="C32" s="64">
        <f t="shared" si="8"/>
        <v>2358443.773543685</v>
      </c>
      <c r="D32" s="64">
        <f>IF(G31=0,0,IF(G31&lt;BondCalculator!$B$12,G31+E32,BondCalculator!$B$12))</f>
        <v>19759.39962294191</v>
      </c>
      <c r="E32" s="64">
        <f>C32*BondCalculator!$B$5/12</f>
        <v>14248.93113182643</v>
      </c>
      <c r="F32" s="64">
        <f t="shared" si="3"/>
        <v>5510.46849111548</v>
      </c>
      <c r="G32" s="64">
        <f t="shared" si="4"/>
        <v>2352933.3050525696</v>
      </c>
      <c r="H32" s="76">
        <f t="shared" si="5"/>
        <v>0.9411733220210279</v>
      </c>
      <c r="J32" s="66">
        <f t="shared" si="6"/>
        <v>2297627.815336699</v>
      </c>
      <c r="K32" s="66">
        <f>IF(N31=0,0,IF(N31&lt;BondCalculator!$B$12+BondCalculator!$B$7,N31+L32,BondCalculator!$B$12+BondCalculator!$B$7))</f>
        <v>21759.39962294191</v>
      </c>
      <c r="L32" s="66">
        <f>J32*BondCalculator!$B$5/12</f>
        <v>13881.501384325891</v>
      </c>
      <c r="M32" s="66">
        <f t="shared" si="7"/>
        <v>7877.898238616019</v>
      </c>
      <c r="N32" s="66">
        <f t="shared" si="0"/>
        <v>2289749.917098083</v>
      </c>
      <c r="P32" s="66">
        <f t="shared" si="1"/>
        <v>367.4297475005387</v>
      </c>
      <c r="Q32" s="67">
        <f>-PV(BondCalculator!$B$9/12,B32,0,1,0)</f>
        <v>0.8653348788253576</v>
      </c>
      <c r="S32" s="68">
        <f t="shared" si="2"/>
        <v>317.94977603021044</v>
      </c>
    </row>
    <row r="33" spans="1:19" ht="15" customHeight="1">
      <c r="A33" s="63" t="s">
        <v>97</v>
      </c>
      <c r="B33" s="74">
        <v>30</v>
      </c>
      <c r="C33" s="64">
        <f t="shared" si="8"/>
        <v>2352933.3050525696</v>
      </c>
      <c r="D33" s="64">
        <f>IF(G32=0,0,IF(G32&lt;BondCalculator!$B$12,G32+E33,BondCalculator!$B$12))</f>
        <v>19759.39962294191</v>
      </c>
      <c r="E33" s="64">
        <f>C33*BondCalculator!$B$5/12</f>
        <v>14215.63871802594</v>
      </c>
      <c r="F33" s="64">
        <f t="shared" si="3"/>
        <v>5543.760904915969</v>
      </c>
      <c r="G33" s="64">
        <f t="shared" si="4"/>
        <v>2347389.5441476535</v>
      </c>
      <c r="H33" s="76">
        <f t="shared" si="5"/>
        <v>0.9389558176590614</v>
      </c>
      <c r="J33" s="66">
        <f t="shared" si="6"/>
        <v>2289749.917098083</v>
      </c>
      <c r="K33" s="66">
        <f>IF(N32=0,0,IF(N32&lt;BondCalculator!$B$12+BondCalculator!$B$7,N32+L33,BondCalculator!$B$12+BondCalculator!$B$7))</f>
        <v>21759.39962294191</v>
      </c>
      <c r="L33" s="66">
        <f>J33*BondCalculator!$B$5/12</f>
        <v>13833.905749134252</v>
      </c>
      <c r="M33" s="66">
        <f t="shared" si="7"/>
        <v>7925.493873807658</v>
      </c>
      <c r="N33" s="66">
        <f t="shared" si="0"/>
        <v>2281824.4232242755</v>
      </c>
      <c r="P33" s="66">
        <f t="shared" si="1"/>
        <v>381.73296889168887</v>
      </c>
      <c r="Q33" s="67">
        <f>-PV(BondCalculator!$B$9/12,B33,0,1,0)</f>
        <v>0.8610297301744854</v>
      </c>
      <c r="S33" s="68">
        <f t="shared" si="2"/>
        <v>328.68343520351607</v>
      </c>
    </row>
    <row r="34" spans="1:19" ht="15" customHeight="1">
      <c r="A34" s="63" t="s">
        <v>97</v>
      </c>
      <c r="B34" s="74">
        <v>31</v>
      </c>
      <c r="C34" s="64">
        <f t="shared" si="8"/>
        <v>2347389.5441476535</v>
      </c>
      <c r="D34" s="64">
        <f>IF(G33=0,0,IF(G33&lt;BondCalculator!$B$12,G33+E34,BondCalculator!$B$12))</f>
        <v>19759.39962294191</v>
      </c>
      <c r="E34" s="64">
        <f>C34*BondCalculator!$B$5/12</f>
        <v>14182.145162558738</v>
      </c>
      <c r="F34" s="64">
        <f t="shared" si="3"/>
        <v>5577.254460383172</v>
      </c>
      <c r="G34" s="64">
        <f t="shared" si="4"/>
        <v>2341812.2896872703</v>
      </c>
      <c r="H34" s="76">
        <f t="shared" si="5"/>
        <v>0.9367249158749081</v>
      </c>
      <c r="J34" s="66">
        <f t="shared" si="6"/>
        <v>2281824.4232242755</v>
      </c>
      <c r="K34" s="66">
        <f>IF(N33=0,0,IF(N33&lt;BondCalculator!$B$12+BondCalculator!$B$7,N33+L34,BondCalculator!$B$12+BondCalculator!$B$7))</f>
        <v>21759.39962294191</v>
      </c>
      <c r="L34" s="66">
        <f>J34*BondCalculator!$B$5/12</f>
        <v>13786.022556979997</v>
      </c>
      <c r="M34" s="66">
        <f t="shared" si="7"/>
        <v>7973.377065961913</v>
      </c>
      <c r="N34" s="66">
        <f t="shared" si="0"/>
        <v>2273851.0461583138</v>
      </c>
      <c r="P34" s="66">
        <f t="shared" si="1"/>
        <v>396.12260557874106</v>
      </c>
      <c r="Q34" s="67">
        <f>-PV(BondCalculator!$B$9/12,B34,0,1,0)</f>
        <v>0.8567460001736175</v>
      </c>
      <c r="S34" s="68">
        <f t="shared" si="2"/>
        <v>339.3764579079379</v>
      </c>
    </row>
    <row r="35" spans="1:19" ht="15" customHeight="1">
      <c r="A35" s="63" t="s">
        <v>97</v>
      </c>
      <c r="B35" s="74">
        <v>32</v>
      </c>
      <c r="C35" s="64">
        <f t="shared" si="8"/>
        <v>2341812.2896872703</v>
      </c>
      <c r="D35" s="64">
        <f>IF(G34=0,0,IF(G34&lt;BondCalculator!$B$12,G34+E35,BondCalculator!$B$12))</f>
        <v>19759.39962294191</v>
      </c>
      <c r="E35" s="64">
        <f>C35*BondCalculator!$B$5/12</f>
        <v>14148.449250193924</v>
      </c>
      <c r="F35" s="64">
        <f t="shared" si="3"/>
        <v>5610.950372747986</v>
      </c>
      <c r="G35" s="64">
        <f t="shared" si="4"/>
        <v>2336201.339314522</v>
      </c>
      <c r="H35" s="76">
        <f t="shared" si="5"/>
        <v>0.9344805357258089</v>
      </c>
      <c r="J35" s="66">
        <f t="shared" si="6"/>
        <v>2273851.0461583138</v>
      </c>
      <c r="K35" s="66">
        <f>IF(N34=0,0,IF(N34&lt;BondCalculator!$B$12+BondCalculator!$B$7,N34+L35,BondCalculator!$B$12+BondCalculator!$B$7))</f>
        <v>21759.39962294191</v>
      </c>
      <c r="L35" s="66">
        <f>J35*BondCalculator!$B$5/12</f>
        <v>13737.850070539811</v>
      </c>
      <c r="M35" s="66">
        <f t="shared" si="7"/>
        <v>8021.549552402099</v>
      </c>
      <c r="N35" s="66">
        <f t="shared" si="0"/>
        <v>2265829.4966059118</v>
      </c>
      <c r="P35" s="66">
        <f t="shared" si="1"/>
        <v>410.59917965411296</v>
      </c>
      <c r="Q35" s="67">
        <f>-PV(BondCalculator!$B$9/12,B35,0,1,0)</f>
        <v>0.852483582262306</v>
      </c>
      <c r="S35" s="68">
        <f t="shared" si="2"/>
        <v>350.0290595455024</v>
      </c>
    </row>
    <row r="36" spans="1:19" ht="15" customHeight="1">
      <c r="A36" s="63" t="s">
        <v>97</v>
      </c>
      <c r="B36" s="74">
        <v>33</v>
      </c>
      <c r="C36" s="64">
        <f t="shared" si="8"/>
        <v>2336201.339314522</v>
      </c>
      <c r="D36" s="64">
        <f>IF(G35=0,0,IF(G35&lt;BondCalculator!$B$12,G35+E36,BondCalculator!$B$12))</f>
        <v>19759.39962294191</v>
      </c>
      <c r="E36" s="64">
        <f>C36*BondCalculator!$B$5/12</f>
        <v>14114.54975835857</v>
      </c>
      <c r="F36" s="64">
        <f t="shared" si="3"/>
        <v>5644.849864583341</v>
      </c>
      <c r="G36" s="64">
        <f t="shared" si="4"/>
        <v>2330556.4894499388</v>
      </c>
      <c r="H36" s="76">
        <f t="shared" si="5"/>
        <v>0.9322225957799755</v>
      </c>
      <c r="J36" s="66">
        <f t="shared" si="6"/>
        <v>2265829.4966059118</v>
      </c>
      <c r="K36" s="66">
        <f>IF(N35=0,0,IF(N35&lt;BondCalculator!$B$12+BondCalculator!$B$7,N35+L36,BondCalculator!$B$12+BondCalculator!$B$7))</f>
        <v>21759.39962294191</v>
      </c>
      <c r="L36" s="66">
        <f>J36*BondCalculator!$B$5/12</f>
        <v>13689.386541994048</v>
      </c>
      <c r="M36" s="66">
        <f t="shared" si="7"/>
        <v>8070.013080947861</v>
      </c>
      <c r="N36" s="66">
        <f t="shared" si="0"/>
        <v>2257759.4835249637</v>
      </c>
      <c r="P36" s="66">
        <f t="shared" si="1"/>
        <v>425.16321636452085</v>
      </c>
      <c r="Q36" s="67">
        <f>-PV(BondCalculator!$B$9/12,B36,0,1,0)</f>
        <v>0.848242370410255</v>
      </c>
      <c r="S36" s="68">
        <f t="shared" si="2"/>
        <v>360.64145446028925</v>
      </c>
    </row>
    <row r="37" spans="1:19" ht="15" customHeight="1">
      <c r="A37" s="63" t="s">
        <v>97</v>
      </c>
      <c r="B37" s="74">
        <v>34</v>
      </c>
      <c r="C37" s="64">
        <f t="shared" si="8"/>
        <v>2330556.4894499388</v>
      </c>
      <c r="D37" s="64">
        <f>IF(G36=0,0,IF(G36&lt;BondCalculator!$B$12,G36+E37,BondCalculator!$B$12))</f>
        <v>19759.39962294191</v>
      </c>
      <c r="E37" s="64">
        <f>C37*BondCalculator!$B$5/12</f>
        <v>14080.44545709338</v>
      </c>
      <c r="F37" s="64">
        <f t="shared" si="3"/>
        <v>5678.9541658485305</v>
      </c>
      <c r="G37" s="64">
        <f t="shared" si="4"/>
        <v>2324877.5352840903</v>
      </c>
      <c r="H37" s="76">
        <f t="shared" si="5"/>
        <v>0.9299510141136361</v>
      </c>
      <c r="J37" s="66">
        <f t="shared" si="6"/>
        <v>2257759.4835249637</v>
      </c>
      <c r="K37" s="66">
        <f>IF(N36=0,0,IF(N36&lt;BondCalculator!$B$12+BondCalculator!$B$7,N36+L37,BondCalculator!$B$12+BondCalculator!$B$7))</f>
        <v>21759.39962294191</v>
      </c>
      <c r="L37" s="66">
        <f>J37*BondCalculator!$B$5/12</f>
        <v>13640.63021296332</v>
      </c>
      <c r="M37" s="66">
        <f t="shared" si="7"/>
        <v>8118.7694099785895</v>
      </c>
      <c r="N37" s="66">
        <f t="shared" si="0"/>
        <v>2249640.714114985</v>
      </c>
      <c r="P37" s="66">
        <f t="shared" si="1"/>
        <v>439.815244130059</v>
      </c>
      <c r="Q37" s="67">
        <f>-PV(BondCalculator!$B$9/12,B37,0,1,0)</f>
        <v>0.8440222591146816</v>
      </c>
      <c r="S37" s="68">
        <f t="shared" si="2"/>
        <v>371.21385594372765</v>
      </c>
    </row>
    <row r="38" spans="1:19" ht="15" customHeight="1">
      <c r="A38" s="63" t="s">
        <v>97</v>
      </c>
      <c r="B38" s="74">
        <v>35</v>
      </c>
      <c r="C38" s="64">
        <f t="shared" si="8"/>
        <v>2324877.5352840903</v>
      </c>
      <c r="D38" s="64">
        <f>IF(G37=0,0,IF(G37&lt;BondCalculator!$B$12,G37+E38,BondCalculator!$B$12))</f>
        <v>19759.39962294191</v>
      </c>
      <c r="E38" s="64">
        <f>C38*BondCalculator!$B$5/12</f>
        <v>14046.135109008044</v>
      </c>
      <c r="F38" s="64">
        <f t="shared" si="3"/>
        <v>5713.264513933866</v>
      </c>
      <c r="G38" s="64">
        <f t="shared" si="4"/>
        <v>2319164.2707701563</v>
      </c>
      <c r="H38" s="76">
        <f t="shared" si="5"/>
        <v>0.9276657083080625</v>
      </c>
      <c r="J38" s="66">
        <f t="shared" si="6"/>
        <v>2249640.714114985</v>
      </c>
      <c r="K38" s="66">
        <f>IF(N37=0,0,IF(N37&lt;BondCalculator!$B$12+BondCalculator!$B$7,N37+L38,BondCalculator!$B$12+BondCalculator!$B$7))</f>
        <v>21759.39962294191</v>
      </c>
      <c r="L38" s="66">
        <f>J38*BondCalculator!$B$5/12</f>
        <v>13591.5793144447</v>
      </c>
      <c r="M38" s="66">
        <f t="shared" si="7"/>
        <v>8167.82030849721</v>
      </c>
      <c r="N38" s="66">
        <f t="shared" si="0"/>
        <v>2241472.893806488</v>
      </c>
      <c r="P38" s="66">
        <f t="shared" si="1"/>
        <v>454.55579456334453</v>
      </c>
      <c r="Q38" s="67">
        <f>-PV(BondCalculator!$B$9/12,B38,0,1,0)</f>
        <v>0.8398231433976932</v>
      </c>
      <c r="S38" s="68">
        <f t="shared" si="2"/>
        <v>381.74647623982406</v>
      </c>
    </row>
    <row r="39" spans="1:19" ht="15" customHeight="1">
      <c r="A39" s="63" t="s">
        <v>97</v>
      </c>
      <c r="B39" s="74">
        <v>36</v>
      </c>
      <c r="C39" s="64">
        <f t="shared" si="8"/>
        <v>2319164.2707701563</v>
      </c>
      <c r="D39" s="64">
        <f>IF(G38=0,0,IF(G38&lt;BondCalculator!$B$12,G38+E39,BondCalculator!$B$12))</f>
        <v>19759.39962294191</v>
      </c>
      <c r="E39" s="64">
        <f>C39*BondCalculator!$B$5/12</f>
        <v>14011.617469236358</v>
      </c>
      <c r="F39" s="64">
        <f t="shared" si="3"/>
        <v>5747.7821537055515</v>
      </c>
      <c r="G39" s="64">
        <f t="shared" si="4"/>
        <v>2313416.4886164507</v>
      </c>
      <c r="H39" s="76">
        <f t="shared" si="5"/>
        <v>0.9253665954465803</v>
      </c>
      <c r="J39" s="66">
        <f t="shared" si="6"/>
        <v>2241472.893806488</v>
      </c>
      <c r="K39" s="66">
        <f>IF(N38=0,0,IF(N38&lt;BondCalculator!$B$12+BondCalculator!$B$7,N38+L39,BondCalculator!$B$12+BondCalculator!$B$7))</f>
        <v>21759.39962294191</v>
      </c>
      <c r="L39" s="66">
        <f>J39*BondCalculator!$B$5/12</f>
        <v>13542.232066747529</v>
      </c>
      <c r="M39" s="66">
        <f t="shared" si="7"/>
        <v>8217.167556194381</v>
      </c>
      <c r="N39" s="66">
        <f t="shared" si="0"/>
        <v>2233255.726250293</v>
      </c>
      <c r="P39" s="66">
        <f t="shared" si="1"/>
        <v>469.38540248882964</v>
      </c>
      <c r="Q39" s="67">
        <f>-PV(BondCalculator!$B$9/12,B39,0,1,0)</f>
        <v>0.8356449188036751</v>
      </c>
      <c r="S39" s="68">
        <f t="shared" si="2"/>
        <v>392.2395265504084</v>
      </c>
    </row>
    <row r="40" spans="1:19" ht="15" customHeight="1">
      <c r="A40" s="63" t="s">
        <v>98</v>
      </c>
      <c r="B40" s="74">
        <v>37</v>
      </c>
      <c r="C40" s="64">
        <f t="shared" si="8"/>
        <v>2313416.4886164507</v>
      </c>
      <c r="D40" s="64">
        <f>IF(G39=0,0,IF(G39&lt;BondCalculator!$B$12,G39+E40,BondCalculator!$B$12))</f>
        <v>19759.39962294191</v>
      </c>
      <c r="E40" s="64">
        <f>C40*BondCalculator!$B$5/12</f>
        <v>13976.891285391057</v>
      </c>
      <c r="F40" s="64">
        <f t="shared" si="3"/>
        <v>5782.508337550853</v>
      </c>
      <c r="G40" s="64">
        <f t="shared" si="4"/>
        <v>2307633.9802789</v>
      </c>
      <c r="H40" s="76">
        <f t="shared" si="5"/>
        <v>0.9230535921115599</v>
      </c>
      <c r="J40" s="66">
        <f t="shared" si="6"/>
        <v>2233255.726250293</v>
      </c>
      <c r="K40" s="66">
        <f>IF(N39=0,0,IF(N39&lt;BondCalculator!$B$12+BondCalculator!$B$7,N39+L40,BondCalculator!$B$12+BondCalculator!$B$7))</f>
        <v>21759.39962294191</v>
      </c>
      <c r="L40" s="66">
        <f>J40*BondCalculator!$B$5/12</f>
        <v>13492.586679428854</v>
      </c>
      <c r="M40" s="66">
        <f t="shared" si="7"/>
        <v>8266.812943513056</v>
      </c>
      <c r="N40" s="66">
        <f t="shared" si="0"/>
        <v>2224988.91330678</v>
      </c>
      <c r="P40" s="66">
        <f t="shared" si="1"/>
        <v>484.3046059622029</v>
      </c>
      <c r="Q40" s="67">
        <f>-PV(BondCalculator!$B$9/12,B40,0,1,0)</f>
        <v>0.8314874813966918</v>
      </c>
      <c r="S40" s="68">
        <f t="shared" si="2"/>
        <v>402.69321704032933</v>
      </c>
    </row>
    <row r="41" spans="1:19" ht="15" customHeight="1">
      <c r="A41" s="63" t="s">
        <v>98</v>
      </c>
      <c r="B41" s="74">
        <v>38</v>
      </c>
      <c r="C41" s="64">
        <f t="shared" si="8"/>
        <v>2307633.9802789</v>
      </c>
      <c r="D41" s="64">
        <f>IF(G40=0,0,IF(G40&lt;BondCalculator!$B$12,G40+E41,BondCalculator!$B$12))</f>
        <v>19759.39962294191</v>
      </c>
      <c r="E41" s="64">
        <f>C41*BondCalculator!$B$5/12</f>
        <v>13941.955297518352</v>
      </c>
      <c r="F41" s="64">
        <f t="shared" si="3"/>
        <v>5817.4443254235575</v>
      </c>
      <c r="G41" s="64">
        <f t="shared" si="4"/>
        <v>2301816.5359534766</v>
      </c>
      <c r="H41" s="76">
        <f t="shared" si="5"/>
        <v>0.9207266143813906</v>
      </c>
      <c r="J41" s="66">
        <f t="shared" si="6"/>
        <v>2224988.91330678</v>
      </c>
      <c r="K41" s="66">
        <f>IF(N40=0,0,IF(N40&lt;BondCalculator!$B$12+BondCalculator!$B$7,N40+L41,BondCalculator!$B$12+BondCalculator!$B$7))</f>
        <v>21759.39962294191</v>
      </c>
      <c r="L41" s="66">
        <f>J41*BondCalculator!$B$5/12</f>
        <v>13442.641351228463</v>
      </c>
      <c r="M41" s="66">
        <f t="shared" si="7"/>
        <v>8316.758271713446</v>
      </c>
      <c r="N41" s="66">
        <f t="shared" si="0"/>
        <v>2216672.155035067</v>
      </c>
      <c r="P41" s="66">
        <f t="shared" si="1"/>
        <v>499.3139462898889</v>
      </c>
      <c r="Q41" s="67">
        <f>-PV(BondCalculator!$B$9/12,B41,0,1,0)</f>
        <v>0.8273507277579023</v>
      </c>
      <c r="S41" s="68">
        <f t="shared" si="2"/>
        <v>413.1077568426097</v>
      </c>
    </row>
    <row r="42" spans="1:19" ht="15" customHeight="1">
      <c r="A42" s="63" t="s">
        <v>98</v>
      </c>
      <c r="B42" s="74">
        <v>39</v>
      </c>
      <c r="C42" s="64">
        <f t="shared" si="8"/>
        <v>2301816.5359534766</v>
      </c>
      <c r="D42" s="64">
        <f>IF(G41=0,0,IF(G41&lt;BondCalculator!$B$12,G41+E42,BondCalculator!$B$12))</f>
        <v>19759.39962294191</v>
      </c>
      <c r="E42" s="64">
        <f>C42*BondCalculator!$B$5/12</f>
        <v>13906.808238052254</v>
      </c>
      <c r="F42" s="64">
        <f t="shared" si="3"/>
        <v>5852.591384889656</v>
      </c>
      <c r="G42" s="64">
        <f t="shared" si="4"/>
        <v>2295963.944568587</v>
      </c>
      <c r="H42" s="76">
        <f t="shared" si="5"/>
        <v>0.9183855778274348</v>
      </c>
      <c r="J42" s="66">
        <f t="shared" si="6"/>
        <v>2216672.155035067</v>
      </c>
      <c r="K42" s="66">
        <f>IF(N41=0,0,IF(N41&lt;BondCalculator!$B$12+BondCalculator!$B$7,N41+L42,BondCalculator!$B$12+BondCalculator!$B$7))</f>
        <v>21759.39962294191</v>
      </c>
      <c r="L42" s="66">
        <f>J42*BondCalculator!$B$5/12</f>
        <v>13392.394270003528</v>
      </c>
      <c r="M42" s="66">
        <f t="shared" si="7"/>
        <v>8367.005352938382</v>
      </c>
      <c r="N42" s="66">
        <f t="shared" si="0"/>
        <v>2208305.1496821283</v>
      </c>
      <c r="P42" s="66">
        <f t="shared" si="1"/>
        <v>514.413968048726</v>
      </c>
      <c r="Q42" s="67">
        <f>-PV(BondCalculator!$B$9/12,B42,0,1,0)</f>
        <v>0.8232345549829875</v>
      </c>
      <c r="S42" s="68">
        <f t="shared" si="2"/>
        <v>423.4833540636257</v>
      </c>
    </row>
    <row r="43" spans="1:19" ht="15" customHeight="1">
      <c r="A43" s="63" t="s">
        <v>98</v>
      </c>
      <c r="B43" s="74">
        <v>40</v>
      </c>
      <c r="C43" s="64">
        <f t="shared" si="8"/>
        <v>2295963.944568587</v>
      </c>
      <c r="D43" s="64">
        <f>IF(G42=0,0,IF(G42&lt;BondCalculator!$B$12,G42+E43,BondCalculator!$B$12))</f>
        <v>19759.39962294191</v>
      </c>
      <c r="E43" s="64">
        <f>C43*BondCalculator!$B$5/12</f>
        <v>13871.448831768546</v>
      </c>
      <c r="F43" s="64">
        <f t="shared" si="3"/>
        <v>5887.9507911733635</v>
      </c>
      <c r="G43" s="64">
        <f t="shared" si="4"/>
        <v>2290075.993777414</v>
      </c>
      <c r="H43" s="76">
        <f t="shared" si="5"/>
        <v>0.9160303975109655</v>
      </c>
      <c r="J43" s="66">
        <f t="shared" si="6"/>
        <v>2208305.1496821283</v>
      </c>
      <c r="K43" s="66">
        <f>IF(N42=0,0,IF(N42&lt;BondCalculator!$B$12+BondCalculator!$B$7,N42+L43,BondCalculator!$B$12+BondCalculator!$B$7))</f>
        <v>21759.39962294191</v>
      </c>
      <c r="L43" s="66">
        <f>J43*BondCalculator!$B$5/12</f>
        <v>13341.843612662859</v>
      </c>
      <c r="M43" s="66">
        <f t="shared" si="7"/>
        <v>8417.556010279051</v>
      </c>
      <c r="N43" s="66">
        <f t="shared" si="0"/>
        <v>2199887.5936718495</v>
      </c>
      <c r="P43" s="66">
        <f t="shared" si="1"/>
        <v>529.6052191056879</v>
      </c>
      <c r="Q43" s="67">
        <f>-PV(BondCalculator!$B$9/12,B43,0,1,0)</f>
        <v>0.8191388606795896</v>
      </c>
      <c r="S43" s="68">
        <f t="shared" si="2"/>
        <v>433.8202157881976</v>
      </c>
    </row>
    <row r="44" spans="1:19" ht="15" customHeight="1">
      <c r="A44" s="63" t="s">
        <v>98</v>
      </c>
      <c r="B44" s="74">
        <v>41</v>
      </c>
      <c r="C44" s="64">
        <f t="shared" si="8"/>
        <v>2290075.993777414</v>
      </c>
      <c r="D44" s="64">
        <f>IF(G43=0,0,IF(G43&lt;BondCalculator!$B$12,G43+E44,BondCalculator!$B$12))</f>
        <v>19759.39962294191</v>
      </c>
      <c r="E44" s="64">
        <f>C44*BondCalculator!$B$5/12</f>
        <v>13835.87579573854</v>
      </c>
      <c r="F44" s="64">
        <f t="shared" si="3"/>
        <v>5923.523827203369</v>
      </c>
      <c r="G44" s="64">
        <f t="shared" si="4"/>
        <v>2284152.4699502103</v>
      </c>
      <c r="H44" s="76">
        <f t="shared" si="5"/>
        <v>0.9136609879800841</v>
      </c>
      <c r="J44" s="66">
        <f t="shared" si="6"/>
        <v>2199887.5936718495</v>
      </c>
      <c r="K44" s="66">
        <f>IF(N43=0,0,IF(N43&lt;BondCalculator!$B$12+BondCalculator!$B$7,N43+L44,BondCalculator!$B$12+BondCalculator!$B$7))</f>
        <v>21759.39962294191</v>
      </c>
      <c r="L44" s="66">
        <f>J44*BondCalculator!$B$5/12</f>
        <v>13290.987545100756</v>
      </c>
      <c r="M44" s="66">
        <f t="shared" si="7"/>
        <v>8468.412077841154</v>
      </c>
      <c r="N44" s="66">
        <f t="shared" si="0"/>
        <v>2191419.181594008</v>
      </c>
      <c r="P44" s="66">
        <f t="shared" si="1"/>
        <v>544.888250637785</v>
      </c>
      <c r="Q44" s="67">
        <f>-PV(BondCalculator!$B$9/12,B44,0,1,0)</f>
        <v>0.8150635429647659</v>
      </c>
      <c r="S44" s="68">
        <f t="shared" si="2"/>
        <v>444.1185480847064</v>
      </c>
    </row>
    <row r="45" spans="1:19" ht="15" customHeight="1">
      <c r="A45" s="63" t="s">
        <v>98</v>
      </c>
      <c r="B45" s="74">
        <v>42</v>
      </c>
      <c r="C45" s="64">
        <f t="shared" si="8"/>
        <v>2284152.4699502103</v>
      </c>
      <c r="D45" s="64">
        <f>IF(G44=0,0,IF(G44&lt;BondCalculator!$B$12,G44+E45,BondCalculator!$B$12))</f>
        <v>19759.39962294191</v>
      </c>
      <c r="E45" s="64">
        <f>C45*BondCalculator!$B$5/12</f>
        <v>13800.08783928252</v>
      </c>
      <c r="F45" s="64">
        <f t="shared" si="3"/>
        <v>5959.31178365939</v>
      </c>
      <c r="G45" s="64">
        <f t="shared" si="4"/>
        <v>2278193.158166551</v>
      </c>
      <c r="H45" s="76">
        <f t="shared" si="5"/>
        <v>0.9112772632666204</v>
      </c>
      <c r="J45" s="66">
        <f t="shared" si="6"/>
        <v>2191419.181594008</v>
      </c>
      <c r="K45" s="66">
        <f>IF(N44=0,0,IF(N44&lt;BondCalculator!$B$12+BondCalculator!$B$7,N44+L45,BondCalculator!$B$12+BondCalculator!$B$7))</f>
        <v>21759.39962294191</v>
      </c>
      <c r="L45" s="66">
        <f>J45*BondCalculator!$B$5/12</f>
        <v>13239.824222130466</v>
      </c>
      <c r="M45" s="66">
        <f t="shared" si="7"/>
        <v>8519.575400811444</v>
      </c>
      <c r="N45" s="66">
        <f t="shared" si="0"/>
        <v>2182899.6061931965</v>
      </c>
      <c r="P45" s="66">
        <f t="shared" si="1"/>
        <v>560.2636171520535</v>
      </c>
      <c r="Q45" s="67">
        <f>-PV(BondCalculator!$B$9/12,B45,0,1,0)</f>
        <v>0.8110085004624539</v>
      </c>
      <c r="S45" s="68">
        <f t="shared" si="2"/>
        <v>454.37855601015724</v>
      </c>
    </row>
    <row r="46" spans="1:19" ht="15" customHeight="1">
      <c r="A46" s="63" t="s">
        <v>98</v>
      </c>
      <c r="B46" s="74">
        <v>43</v>
      </c>
      <c r="C46" s="64">
        <f t="shared" si="8"/>
        <v>2278193.158166551</v>
      </c>
      <c r="D46" s="64">
        <f>IF(G45=0,0,IF(G45&lt;BondCalculator!$B$12,G45+E46,BondCalculator!$B$12))</f>
        <v>19759.39962294191</v>
      </c>
      <c r="E46" s="64">
        <f>C46*BondCalculator!$B$5/12</f>
        <v>13764.083663922911</v>
      </c>
      <c r="F46" s="64">
        <f t="shared" si="3"/>
        <v>5995.315959018999</v>
      </c>
      <c r="G46" s="64">
        <f t="shared" si="4"/>
        <v>2272197.842207532</v>
      </c>
      <c r="H46" s="76">
        <f t="shared" si="5"/>
        <v>0.9088791368830128</v>
      </c>
      <c r="J46" s="66">
        <f t="shared" si="6"/>
        <v>2182899.6061931965</v>
      </c>
      <c r="K46" s="66">
        <f>IF(N45=0,0,IF(N45&lt;BondCalculator!$B$12+BondCalculator!$B$7,N45+L46,BondCalculator!$B$12+BondCalculator!$B$7))</f>
        <v>21759.39962294191</v>
      </c>
      <c r="L46" s="66">
        <f>J46*BondCalculator!$B$5/12</f>
        <v>13188.351787417227</v>
      </c>
      <c r="M46" s="66">
        <f t="shared" si="7"/>
        <v>8571.047835524683</v>
      </c>
      <c r="N46" s="66">
        <f t="shared" si="0"/>
        <v>2174328.558357672</v>
      </c>
      <c r="P46" s="66">
        <f t="shared" si="1"/>
        <v>575.7318765056843</v>
      </c>
      <c r="Q46" s="67">
        <f>-PV(BondCalculator!$B$9/12,B46,0,1,0)</f>
        <v>0.8069736323009491</v>
      </c>
      <c r="S46" s="68">
        <f t="shared" si="2"/>
        <v>464.60044361523353</v>
      </c>
    </row>
    <row r="47" spans="1:19" ht="15" customHeight="1">
      <c r="A47" s="63" t="s">
        <v>98</v>
      </c>
      <c r="B47" s="74">
        <v>44</v>
      </c>
      <c r="C47" s="64">
        <f t="shared" si="8"/>
        <v>2272197.842207532</v>
      </c>
      <c r="D47" s="64">
        <f>IF(G46=0,0,IF(G46&lt;BondCalculator!$B$12,G46+E47,BondCalculator!$B$12))</f>
        <v>19759.39962294191</v>
      </c>
      <c r="E47" s="64">
        <f>C47*BondCalculator!$B$5/12</f>
        <v>13727.86196333717</v>
      </c>
      <c r="F47" s="64">
        <f t="shared" si="3"/>
        <v>6031.537659604739</v>
      </c>
      <c r="G47" s="64">
        <f t="shared" si="4"/>
        <v>2266166.3045479273</v>
      </c>
      <c r="H47" s="76">
        <f t="shared" si="5"/>
        <v>0.906466521819171</v>
      </c>
      <c r="J47" s="66">
        <f t="shared" si="6"/>
        <v>2174328.558357672</v>
      </c>
      <c r="K47" s="66">
        <f>IF(N46=0,0,IF(N46&lt;BondCalculator!$B$12+BondCalculator!$B$7,N46+L47,BondCalculator!$B$12+BondCalculator!$B$7))</f>
        <v>21759.39962294191</v>
      </c>
      <c r="L47" s="66">
        <f>J47*BondCalculator!$B$5/12</f>
        <v>13136.568373410933</v>
      </c>
      <c r="M47" s="66">
        <f t="shared" si="7"/>
        <v>8622.831249530976</v>
      </c>
      <c r="N47" s="66">
        <f t="shared" si="0"/>
        <v>2165705.727108141</v>
      </c>
      <c r="P47" s="66">
        <f t="shared" si="1"/>
        <v>591.2935899262375</v>
      </c>
      <c r="Q47" s="67">
        <f>-PV(BondCalculator!$B$9/12,B47,0,1,0)</f>
        <v>0.8029588381103973</v>
      </c>
      <c r="S47" s="68">
        <f t="shared" si="2"/>
        <v>474.78441394929735</v>
      </c>
    </row>
    <row r="48" spans="1:19" ht="15" customHeight="1">
      <c r="A48" s="63" t="s">
        <v>98</v>
      </c>
      <c r="B48" s="74">
        <v>45</v>
      </c>
      <c r="C48" s="64">
        <f t="shared" si="8"/>
        <v>2266166.3045479273</v>
      </c>
      <c r="D48" s="64">
        <f>IF(G47=0,0,IF(G47&lt;BondCalculator!$B$12,G47+E48,BondCalculator!$B$12))</f>
        <v>19759.39962294191</v>
      </c>
      <c r="E48" s="64">
        <f>C48*BondCalculator!$B$5/12</f>
        <v>13691.421423310394</v>
      </c>
      <c r="F48" s="64">
        <f t="shared" si="3"/>
        <v>6067.978199631516</v>
      </c>
      <c r="G48" s="64">
        <f t="shared" si="4"/>
        <v>2260098.326348296</v>
      </c>
      <c r="H48" s="76">
        <f t="shared" si="5"/>
        <v>0.9040393305393184</v>
      </c>
      <c r="J48" s="66">
        <f t="shared" si="6"/>
        <v>2165705.727108141</v>
      </c>
      <c r="K48" s="66">
        <f>IF(N47=0,0,IF(N47&lt;BondCalculator!$B$12+BondCalculator!$B$7,N47+L48,BondCalculator!$B$12+BondCalculator!$B$7))</f>
        <v>21759.39962294191</v>
      </c>
      <c r="L48" s="66">
        <f>J48*BondCalculator!$B$5/12</f>
        <v>13084.47210127835</v>
      </c>
      <c r="M48" s="66">
        <f t="shared" si="7"/>
        <v>8674.92752166356</v>
      </c>
      <c r="N48" s="66">
        <f t="shared" si="0"/>
        <v>2157030.799586477</v>
      </c>
      <c r="P48" s="66">
        <f t="shared" si="1"/>
        <v>606.9493220320437</v>
      </c>
      <c r="Q48" s="67">
        <f>-PV(BondCalculator!$B$9/12,B48,0,1,0)</f>
        <v>0.798964018020296</v>
      </c>
      <c r="S48" s="68">
        <f t="shared" si="2"/>
        <v>484.9306690654162</v>
      </c>
    </row>
    <row r="49" spans="1:19" ht="15" customHeight="1">
      <c r="A49" s="63" t="s">
        <v>98</v>
      </c>
      <c r="B49" s="74">
        <v>46</v>
      </c>
      <c r="C49" s="64">
        <f t="shared" si="8"/>
        <v>2260098.326348296</v>
      </c>
      <c r="D49" s="64">
        <f>IF(G48=0,0,IF(G48&lt;BondCalculator!$B$12,G48+E49,BondCalculator!$B$12))</f>
        <v>19759.39962294191</v>
      </c>
      <c r="E49" s="64">
        <f>C49*BondCalculator!$B$5/12</f>
        <v>13654.76072168762</v>
      </c>
      <c r="F49" s="64">
        <f t="shared" si="3"/>
        <v>6104.6389012542895</v>
      </c>
      <c r="G49" s="64">
        <f t="shared" si="4"/>
        <v>2253993.6874470417</v>
      </c>
      <c r="H49" s="76">
        <f t="shared" si="5"/>
        <v>0.9015974749788167</v>
      </c>
      <c r="J49" s="66">
        <f t="shared" si="6"/>
        <v>2157030.799586477</v>
      </c>
      <c r="K49" s="66">
        <f>IF(N48=0,0,IF(N48&lt;BondCalculator!$B$12+BondCalculator!$B$7,N48+L49,BondCalculator!$B$12+BondCalculator!$B$7))</f>
        <v>21759.39962294191</v>
      </c>
      <c r="L49" s="66">
        <f>J49*BondCalculator!$B$5/12</f>
        <v>13032.061080834967</v>
      </c>
      <c r="M49" s="66">
        <f t="shared" si="7"/>
        <v>8727.338542106943</v>
      </c>
      <c r="N49" s="66">
        <f t="shared" si="0"/>
        <v>2148303.46104437</v>
      </c>
      <c r="P49" s="66">
        <f t="shared" si="1"/>
        <v>622.6996408526538</v>
      </c>
      <c r="Q49" s="67">
        <f>-PV(BondCalculator!$B$9/12,B49,0,1,0)</f>
        <v>0.794989072657011</v>
      </c>
      <c r="S49" s="68">
        <f t="shared" si="2"/>
        <v>495.0394100253051</v>
      </c>
    </row>
    <row r="50" spans="1:19" ht="15" customHeight="1">
      <c r="A50" s="63" t="s">
        <v>98</v>
      </c>
      <c r="B50" s="74">
        <v>47</v>
      </c>
      <c r="C50" s="64">
        <f t="shared" si="8"/>
        <v>2253993.6874470417</v>
      </c>
      <c r="D50" s="64">
        <f>IF(G49=0,0,IF(G49&lt;BondCalculator!$B$12,G49+E50,BondCalculator!$B$12))</f>
        <v>19759.39962294191</v>
      </c>
      <c r="E50" s="64">
        <f>C50*BondCalculator!$B$5/12</f>
        <v>13617.878528325877</v>
      </c>
      <c r="F50" s="64">
        <f t="shared" si="3"/>
        <v>6141.521094616033</v>
      </c>
      <c r="G50" s="64">
        <f t="shared" si="4"/>
        <v>2247852.1663524257</v>
      </c>
      <c r="H50" s="76">
        <f t="shared" si="5"/>
        <v>0.8991408665409703</v>
      </c>
      <c r="J50" s="66">
        <f t="shared" si="6"/>
        <v>2148303.46104437</v>
      </c>
      <c r="K50" s="66">
        <f>IF(N49=0,0,IF(N49&lt;BondCalculator!$B$12+BondCalculator!$B$7,N49+L50,BondCalculator!$B$12+BondCalculator!$B$7))</f>
        <v>21759.39962294191</v>
      </c>
      <c r="L50" s="66">
        <f>J50*BondCalculator!$B$5/12</f>
        <v>12979.333410476402</v>
      </c>
      <c r="M50" s="66">
        <f t="shared" si="7"/>
        <v>8780.066212465508</v>
      </c>
      <c r="N50" s="66">
        <f t="shared" si="0"/>
        <v>2139523.3948319047</v>
      </c>
      <c r="P50" s="66">
        <f t="shared" si="1"/>
        <v>638.545117849475</v>
      </c>
      <c r="Q50" s="67">
        <f>-PV(BondCalculator!$B$9/12,B50,0,1,0)</f>
        <v>0.7910339031413047</v>
      </c>
      <c r="S50" s="68">
        <f t="shared" si="2"/>
        <v>505.1108369042946</v>
      </c>
    </row>
    <row r="51" spans="1:19" ht="15" customHeight="1">
      <c r="A51" s="63" t="s">
        <v>98</v>
      </c>
      <c r="B51" s="74">
        <v>48</v>
      </c>
      <c r="C51" s="64">
        <f t="shared" si="8"/>
        <v>2247852.1663524257</v>
      </c>
      <c r="D51" s="64">
        <f>IF(G50=0,0,IF(G50&lt;BondCalculator!$B$12,G50+E51,BondCalculator!$B$12))</f>
        <v>19759.39962294191</v>
      </c>
      <c r="E51" s="64">
        <f>C51*BondCalculator!$B$5/12</f>
        <v>13580.773505045903</v>
      </c>
      <c r="F51" s="64">
        <f t="shared" si="3"/>
        <v>6178.626117896007</v>
      </c>
      <c r="G51" s="64">
        <f t="shared" si="4"/>
        <v>2241673.54023453</v>
      </c>
      <c r="H51" s="76">
        <f t="shared" si="5"/>
        <v>0.8966694160938119</v>
      </c>
      <c r="J51" s="66">
        <f t="shared" si="6"/>
        <v>2139523.3948319047</v>
      </c>
      <c r="K51" s="66">
        <f>IF(N50=0,0,IF(N50&lt;BondCalculator!$B$12+BondCalculator!$B$7,N50+L51,BondCalculator!$B$12+BondCalculator!$B$7))</f>
        <v>21759.39962294191</v>
      </c>
      <c r="L51" s="66">
        <f>J51*BondCalculator!$B$5/12</f>
        <v>12926.287177109423</v>
      </c>
      <c r="M51" s="66">
        <f t="shared" si="7"/>
        <v>8833.112445832487</v>
      </c>
      <c r="N51" s="66">
        <f t="shared" si="0"/>
        <v>2130690.282386072</v>
      </c>
      <c r="P51" s="66">
        <f t="shared" si="1"/>
        <v>654.4863279364799</v>
      </c>
      <c r="Q51" s="67">
        <f>-PV(BondCalculator!$B$9/12,B51,0,1,0)</f>
        <v>0.7870984110858754</v>
      </c>
      <c r="S51" s="68">
        <f t="shared" si="2"/>
        <v>515.1451487962325</v>
      </c>
    </row>
    <row r="52" spans="1:19" ht="15" customHeight="1">
      <c r="A52" s="63" t="s">
        <v>99</v>
      </c>
      <c r="B52" s="74">
        <v>49</v>
      </c>
      <c r="C52" s="64">
        <f t="shared" si="8"/>
        <v>2241673.54023453</v>
      </c>
      <c r="D52" s="64">
        <f>IF(G51=0,0,IF(G51&lt;BondCalculator!$B$12,G51+E52,BondCalculator!$B$12))</f>
        <v>19759.39962294191</v>
      </c>
      <c r="E52" s="64">
        <f>C52*BondCalculator!$B$5/12</f>
        <v>13543.444305583616</v>
      </c>
      <c r="F52" s="64">
        <f t="shared" si="3"/>
        <v>6215.9553173582935</v>
      </c>
      <c r="G52" s="64">
        <f t="shared" si="4"/>
        <v>2235457.5849171714</v>
      </c>
      <c r="H52" s="76">
        <f t="shared" si="5"/>
        <v>0.8941830339668686</v>
      </c>
      <c r="J52" s="66">
        <f t="shared" si="6"/>
        <v>2130690.282386072</v>
      </c>
      <c r="K52" s="66">
        <f>IF(N51=0,0,IF(N51&lt;BondCalculator!$B$12+BondCalculator!$B$7,N51+L52,BondCalculator!$B$12+BondCalculator!$B$7))</f>
        <v>21759.39962294191</v>
      </c>
      <c r="L52" s="66">
        <f>J52*BondCalculator!$B$5/12</f>
        <v>12872.920456082516</v>
      </c>
      <c r="M52" s="66">
        <f t="shared" si="7"/>
        <v>8886.479166859393</v>
      </c>
      <c r="N52" s="66">
        <f t="shared" si="0"/>
        <v>2121803.8032192127</v>
      </c>
      <c r="P52" s="66">
        <f t="shared" si="1"/>
        <v>670.5238495010999</v>
      </c>
      <c r="Q52" s="67">
        <f>-PV(BondCalculator!$B$9/12,B52,0,1,0)</f>
        <v>0.7831824985929109</v>
      </c>
      <c r="S52" s="68">
        <f t="shared" si="2"/>
        <v>525.1425438184084</v>
      </c>
    </row>
    <row r="53" spans="1:19" ht="15" customHeight="1">
      <c r="A53" s="63" t="s">
        <v>99</v>
      </c>
      <c r="B53" s="74">
        <v>50</v>
      </c>
      <c r="C53" s="64">
        <f t="shared" si="8"/>
        <v>2235457.5849171714</v>
      </c>
      <c r="D53" s="64">
        <f>IF(G52=0,0,IF(G52&lt;BondCalculator!$B$12,G52+E53,BondCalculator!$B$12))</f>
        <v>19759.39962294191</v>
      </c>
      <c r="E53" s="64">
        <f>C53*BondCalculator!$B$5/12</f>
        <v>13505.889575541243</v>
      </c>
      <c r="F53" s="64">
        <f t="shared" si="3"/>
        <v>6253.510047400667</v>
      </c>
      <c r="G53" s="64">
        <f t="shared" si="4"/>
        <v>2229204.0748697706</v>
      </c>
      <c r="H53" s="76">
        <f t="shared" si="5"/>
        <v>0.8916816299479082</v>
      </c>
      <c r="J53" s="66">
        <f t="shared" si="6"/>
        <v>2121803.8032192127</v>
      </c>
      <c r="K53" s="66">
        <f>IF(N52=0,0,IF(N52&lt;BondCalculator!$B$12+BondCalculator!$B$7,N52+L53,BondCalculator!$B$12+BondCalculator!$B$7))</f>
        <v>21759.39962294191</v>
      </c>
      <c r="L53" s="66">
        <f>J53*BondCalculator!$B$5/12</f>
        <v>12819.231311116077</v>
      </c>
      <c r="M53" s="66">
        <f t="shared" si="7"/>
        <v>8940.168311825833</v>
      </c>
      <c r="N53" s="66">
        <f t="shared" si="0"/>
        <v>2112863.6349073867</v>
      </c>
      <c r="P53" s="66">
        <f t="shared" si="1"/>
        <v>686.6582644251666</v>
      </c>
      <c r="Q53" s="67">
        <f>-PV(BondCalculator!$B$9/12,B53,0,1,0)</f>
        <v>0.7792860682516529</v>
      </c>
      <c r="S53" s="68">
        <f t="shared" si="2"/>
        <v>535.103219116392</v>
      </c>
    </row>
    <row r="54" spans="1:19" ht="15" customHeight="1">
      <c r="A54" s="63" t="s">
        <v>99</v>
      </c>
      <c r="B54" s="74">
        <v>51</v>
      </c>
      <c r="C54" s="64">
        <f t="shared" si="8"/>
        <v>2229204.0748697706</v>
      </c>
      <c r="D54" s="64">
        <f>IF(G53=0,0,IF(G53&lt;BondCalculator!$B$12,G53+E54,BondCalculator!$B$12))</f>
        <v>19759.39962294191</v>
      </c>
      <c r="E54" s="64">
        <f>C54*BondCalculator!$B$5/12</f>
        <v>13468.107952338198</v>
      </c>
      <c r="F54" s="64">
        <f t="shared" si="3"/>
        <v>6291.291670603712</v>
      </c>
      <c r="G54" s="64">
        <f t="shared" si="4"/>
        <v>2222912.783199167</v>
      </c>
      <c r="H54" s="76">
        <f t="shared" si="5"/>
        <v>0.8891651132796667</v>
      </c>
      <c r="J54" s="66">
        <f t="shared" si="6"/>
        <v>2112863.6349073867</v>
      </c>
      <c r="K54" s="66">
        <f>IF(N53=0,0,IF(N53&lt;BondCalculator!$B$12+BondCalculator!$B$7,N53+L54,BondCalculator!$B$12+BondCalculator!$B$7))</f>
        <v>21759.39962294191</v>
      </c>
      <c r="L54" s="66">
        <f>J54*BondCalculator!$B$5/12</f>
        <v>12765.217794232127</v>
      </c>
      <c r="M54" s="66">
        <f t="shared" si="7"/>
        <v>8994.181828709783</v>
      </c>
      <c r="N54" s="66">
        <f t="shared" si="0"/>
        <v>2103869.453078677</v>
      </c>
      <c r="P54" s="66">
        <f t="shared" si="1"/>
        <v>702.8901581060709</v>
      </c>
      <c r="Q54" s="67">
        <f>-PV(BondCalculator!$B$9/12,B54,0,1,0)</f>
        <v>0.7754090231359732</v>
      </c>
      <c r="S54" s="68">
        <f t="shared" si="2"/>
        <v>545.0273708689182</v>
      </c>
    </row>
    <row r="55" spans="1:19" ht="15" customHeight="1">
      <c r="A55" s="63" t="s">
        <v>99</v>
      </c>
      <c r="B55" s="74">
        <v>52</v>
      </c>
      <c r="C55" s="64">
        <f t="shared" si="8"/>
        <v>2222912.783199167</v>
      </c>
      <c r="D55" s="64">
        <f>IF(G54=0,0,IF(G54&lt;BondCalculator!$B$12,G54+E55,BondCalculator!$B$12))</f>
        <v>19759.39962294191</v>
      </c>
      <c r="E55" s="64">
        <f>C55*BondCalculator!$B$5/12</f>
        <v>13430.098065161632</v>
      </c>
      <c r="F55" s="64">
        <f t="shared" si="3"/>
        <v>6329.301557780278</v>
      </c>
      <c r="G55" s="64">
        <f t="shared" si="4"/>
        <v>2216583.4816413866</v>
      </c>
      <c r="H55" s="76">
        <f t="shared" si="5"/>
        <v>0.8866333926565546</v>
      </c>
      <c r="J55" s="66">
        <f t="shared" si="6"/>
        <v>2103869.453078677</v>
      </c>
      <c r="K55" s="66">
        <f>IF(N54=0,0,IF(N54&lt;BondCalculator!$B$12+BondCalculator!$B$7,N54+L55,BondCalculator!$B$12+BondCalculator!$B$7))</f>
        <v>21759.39962294191</v>
      </c>
      <c r="L55" s="66">
        <f>J55*BondCalculator!$B$5/12</f>
        <v>12710.877945683673</v>
      </c>
      <c r="M55" s="66">
        <f t="shared" si="7"/>
        <v>9048.521677258237</v>
      </c>
      <c r="N55" s="66">
        <f t="shared" si="0"/>
        <v>2094820.9314014188</v>
      </c>
      <c r="P55" s="66">
        <f t="shared" si="1"/>
        <v>719.2201194779591</v>
      </c>
      <c r="Q55" s="67">
        <f>-PV(BondCalculator!$B$9/12,B55,0,1,0)</f>
        <v>0.7715512668019634</v>
      </c>
      <c r="S55" s="68">
        <f t="shared" si="2"/>
        <v>554.9151942926788</v>
      </c>
    </row>
    <row r="56" spans="1:19" ht="15" customHeight="1">
      <c r="A56" s="63" t="s">
        <v>99</v>
      </c>
      <c r="B56" s="74">
        <v>53</v>
      </c>
      <c r="C56" s="64">
        <f t="shared" si="8"/>
        <v>2216583.4816413866</v>
      </c>
      <c r="D56" s="64">
        <f>IF(G55=0,0,IF(G55&lt;BondCalculator!$B$12,G55+E56,BondCalculator!$B$12))</f>
        <v>19759.39962294191</v>
      </c>
      <c r="E56" s="64">
        <f>C56*BondCalculator!$B$5/12</f>
        <v>13391.85853491671</v>
      </c>
      <c r="F56" s="64">
        <f t="shared" si="3"/>
        <v>6367.5410880252</v>
      </c>
      <c r="G56" s="64">
        <f t="shared" si="4"/>
        <v>2210215.9405533615</v>
      </c>
      <c r="H56" s="76">
        <f t="shared" si="5"/>
        <v>0.8840863762213447</v>
      </c>
      <c r="J56" s="66">
        <f t="shared" si="6"/>
        <v>2094820.9314014188</v>
      </c>
      <c r="K56" s="66">
        <f>IF(N55=0,0,IF(N55&lt;BondCalculator!$B$12+BondCalculator!$B$7,N55+L56,BondCalculator!$B$12+BondCalculator!$B$7))</f>
        <v>21759.39962294191</v>
      </c>
      <c r="L56" s="66">
        <f>J56*BondCalculator!$B$5/12</f>
        <v>12656.20979388357</v>
      </c>
      <c r="M56" s="66">
        <f t="shared" si="7"/>
        <v>9103.18982905834</v>
      </c>
      <c r="N56" s="66">
        <f t="shared" si="0"/>
        <v>2085717.7415723605</v>
      </c>
      <c r="P56" s="66">
        <f t="shared" si="1"/>
        <v>735.6487410331392</v>
      </c>
      <c r="Q56" s="67">
        <f>-PV(BondCalculator!$B$9/12,B56,0,1,0)</f>
        <v>0.7677127032855359</v>
      </c>
      <c r="S56" s="68">
        <f t="shared" si="2"/>
        <v>564.7668836471524</v>
      </c>
    </row>
    <row r="57" spans="1:19" ht="15" customHeight="1">
      <c r="A57" s="63" t="s">
        <v>99</v>
      </c>
      <c r="B57" s="74">
        <v>54</v>
      </c>
      <c r="C57" s="64">
        <f t="shared" si="8"/>
        <v>2210215.9405533615</v>
      </c>
      <c r="D57" s="64">
        <f>IF(G56=0,0,IF(G56&lt;BondCalculator!$B$12,G56+E57,BondCalculator!$B$12))</f>
        <v>19759.39962294191</v>
      </c>
      <c r="E57" s="64">
        <f>C57*BondCalculator!$B$5/12</f>
        <v>13353.387974176558</v>
      </c>
      <c r="F57" s="64">
        <f t="shared" si="3"/>
        <v>6406.011648765352</v>
      </c>
      <c r="G57" s="64">
        <f t="shared" si="4"/>
        <v>2203809.9289045963</v>
      </c>
      <c r="H57" s="76">
        <f t="shared" si="5"/>
        <v>0.8815239715618385</v>
      </c>
      <c r="J57" s="66">
        <f t="shared" si="6"/>
        <v>2085717.7415723605</v>
      </c>
      <c r="K57" s="66">
        <f>IF(N56=0,0,IF(N56&lt;BondCalculator!$B$12+BondCalculator!$B$7,N56+L57,BondCalculator!$B$12+BondCalculator!$B$7))</f>
        <v>21759.39962294191</v>
      </c>
      <c r="L57" s="66">
        <f>J57*BondCalculator!$B$5/12</f>
        <v>12601.211355333011</v>
      </c>
      <c r="M57" s="66">
        <f t="shared" si="7"/>
        <v>9158.188267608899</v>
      </c>
      <c r="N57" s="66">
        <f t="shared" si="0"/>
        <v>2076559.5533047516</v>
      </c>
      <c r="P57" s="66">
        <f t="shared" si="1"/>
        <v>752.1766188435467</v>
      </c>
      <c r="Q57" s="67">
        <f>-PV(BondCalculator!$B$9/12,B57,0,1,0)</f>
        <v>0.7638932371000359</v>
      </c>
      <c r="S57" s="68">
        <f t="shared" si="2"/>
        <v>574.5826322393567</v>
      </c>
    </row>
    <row r="58" spans="1:19" ht="15" customHeight="1">
      <c r="A58" s="63" t="s">
        <v>99</v>
      </c>
      <c r="B58" s="74">
        <v>55</v>
      </c>
      <c r="C58" s="64">
        <f t="shared" si="8"/>
        <v>2203809.9289045963</v>
      </c>
      <c r="D58" s="64">
        <f>IF(G57=0,0,IF(G57&lt;BondCalculator!$B$12,G57+E58,BondCalculator!$B$12))</f>
        <v>19759.39962294191</v>
      </c>
      <c r="E58" s="64">
        <f>C58*BondCalculator!$B$5/12</f>
        <v>13314.684987131935</v>
      </c>
      <c r="F58" s="64">
        <f t="shared" si="3"/>
        <v>6444.714635809974</v>
      </c>
      <c r="G58" s="64">
        <f t="shared" si="4"/>
        <v>2197365.2142687864</v>
      </c>
      <c r="H58" s="76">
        <f t="shared" si="5"/>
        <v>0.8789460857075145</v>
      </c>
      <c r="J58" s="66">
        <f t="shared" si="6"/>
        <v>2076559.5533047516</v>
      </c>
      <c r="K58" s="66">
        <f>IF(N57=0,0,IF(N57&lt;BondCalculator!$B$12+BondCalculator!$B$7,N57+L58,BondCalculator!$B$12+BondCalculator!$B$7))</f>
        <v>21759.39962294191</v>
      </c>
      <c r="L58" s="66">
        <f>J58*BondCalculator!$B$5/12</f>
        <v>12545.88063454954</v>
      </c>
      <c r="M58" s="66">
        <f t="shared" si="7"/>
        <v>9213.51898839237</v>
      </c>
      <c r="N58" s="66">
        <f t="shared" si="0"/>
        <v>2067346.0343163593</v>
      </c>
      <c r="P58" s="66">
        <f t="shared" si="1"/>
        <v>768.804352582396</v>
      </c>
      <c r="Q58" s="67">
        <f>-PV(BondCalculator!$B$9/12,B58,0,1,0)</f>
        <v>0.7600927732338666</v>
      </c>
      <c r="S58" s="68">
        <f t="shared" si="2"/>
        <v>584.3626324286207</v>
      </c>
    </row>
    <row r="59" spans="1:19" ht="15" customHeight="1">
      <c r="A59" s="63" t="s">
        <v>99</v>
      </c>
      <c r="B59" s="74">
        <v>56</v>
      </c>
      <c r="C59" s="64">
        <f t="shared" si="8"/>
        <v>2197365.2142687864</v>
      </c>
      <c r="D59" s="64">
        <f>IF(G58=0,0,IF(G58&lt;BondCalculator!$B$12,G58+E59,BondCalculator!$B$12))</f>
        <v>19759.39962294191</v>
      </c>
      <c r="E59" s="64">
        <f>C59*BondCalculator!$B$5/12</f>
        <v>13275.748169540582</v>
      </c>
      <c r="F59" s="64">
        <f t="shared" si="3"/>
        <v>6483.651453401328</v>
      </c>
      <c r="G59" s="64">
        <f t="shared" si="4"/>
        <v>2190881.562815385</v>
      </c>
      <c r="H59" s="76">
        <f t="shared" si="5"/>
        <v>0.876352625126154</v>
      </c>
      <c r="J59" s="66">
        <f t="shared" si="6"/>
        <v>2067346.0343163593</v>
      </c>
      <c r="K59" s="66">
        <f>IF(N58=0,0,IF(N58&lt;BondCalculator!$B$12+BondCalculator!$B$7,N58+L59,BondCalculator!$B$12+BondCalculator!$B$7))</f>
        <v>21759.39962294191</v>
      </c>
      <c r="L59" s="66">
        <f>J59*BondCalculator!$B$5/12</f>
        <v>12490.21562399467</v>
      </c>
      <c r="M59" s="66">
        <f t="shared" si="7"/>
        <v>9269.18399894724</v>
      </c>
      <c r="N59" s="66">
        <f t="shared" si="0"/>
        <v>2058076.850317412</v>
      </c>
      <c r="P59" s="66">
        <f t="shared" si="1"/>
        <v>785.5325455459115</v>
      </c>
      <c r="Q59" s="67">
        <f>-PV(BondCalculator!$B$9/12,B59,0,1,0)</f>
        <v>0.7563112171481259</v>
      </c>
      <c r="S59" s="68">
        <f t="shared" si="2"/>
        <v>594.1070756312939</v>
      </c>
    </row>
    <row r="60" spans="1:19" ht="15" customHeight="1">
      <c r="A60" s="63" t="s">
        <v>99</v>
      </c>
      <c r="B60" s="74">
        <v>57</v>
      </c>
      <c r="C60" s="64">
        <f t="shared" si="8"/>
        <v>2190881.562815385</v>
      </c>
      <c r="D60" s="64">
        <f>IF(G59=0,0,IF(G59&lt;BondCalculator!$B$12,G59+E60,BondCalculator!$B$12))</f>
        <v>19759.39962294191</v>
      </c>
      <c r="E60" s="64">
        <f>C60*BondCalculator!$B$5/12</f>
        <v>13236.576108676281</v>
      </c>
      <c r="F60" s="64">
        <f t="shared" si="3"/>
        <v>6522.823514265629</v>
      </c>
      <c r="G60" s="64">
        <f t="shared" si="4"/>
        <v>2184358.7393011195</v>
      </c>
      <c r="H60" s="76">
        <f t="shared" si="5"/>
        <v>0.8737434957204477</v>
      </c>
      <c r="J60" s="66">
        <f t="shared" si="6"/>
        <v>2058076.850317412</v>
      </c>
      <c r="K60" s="66">
        <f>IF(N59=0,0,IF(N59&lt;BondCalculator!$B$12+BondCalculator!$B$7,N59+L60,BondCalculator!$B$12+BondCalculator!$B$7))</f>
        <v>21759.39962294191</v>
      </c>
      <c r="L60" s="66">
        <f>J60*BondCalculator!$B$5/12</f>
        <v>12434.214304001029</v>
      </c>
      <c r="M60" s="66">
        <f t="shared" si="7"/>
        <v>9325.185318940881</v>
      </c>
      <c r="N60" s="66">
        <f t="shared" si="0"/>
        <v>2048751.6649984713</v>
      </c>
      <c r="P60" s="66">
        <f t="shared" si="1"/>
        <v>802.3618046752526</v>
      </c>
      <c r="Q60" s="67">
        <f>-PV(BondCalculator!$B$9/12,B60,0,1,0)</f>
        <v>0.7525484747742548</v>
      </c>
      <c r="S60" s="68">
        <f t="shared" si="2"/>
        <v>603.81615232548</v>
      </c>
    </row>
    <row r="61" spans="1:19" ht="15" customHeight="1">
      <c r="A61" s="63" t="s">
        <v>99</v>
      </c>
      <c r="B61" s="74">
        <v>58</v>
      </c>
      <c r="C61" s="64">
        <f t="shared" si="8"/>
        <v>2184358.7393011195</v>
      </c>
      <c r="D61" s="64">
        <f>IF(G60=0,0,IF(G60&lt;BondCalculator!$B$12,G60+E61,BondCalculator!$B$12))</f>
        <v>19759.39962294191</v>
      </c>
      <c r="E61" s="64">
        <f>C61*BondCalculator!$B$5/12</f>
        <v>13197.167383277594</v>
      </c>
      <c r="F61" s="64">
        <f t="shared" si="3"/>
        <v>6562.232239664316</v>
      </c>
      <c r="G61" s="64">
        <f t="shared" si="4"/>
        <v>2177796.507061455</v>
      </c>
      <c r="H61" s="76">
        <f t="shared" si="5"/>
        <v>0.871118602824582</v>
      </c>
      <c r="J61" s="66">
        <f t="shared" si="6"/>
        <v>2048751.6649984713</v>
      </c>
      <c r="K61" s="66">
        <f>IF(N60=0,0,IF(N60&lt;BondCalculator!$B$12+BondCalculator!$B$7,N60+L61,BondCalculator!$B$12+BondCalculator!$B$7))</f>
        <v>21759.39962294191</v>
      </c>
      <c r="L61" s="66">
        <f>J61*BondCalculator!$B$5/12</f>
        <v>12377.874642699097</v>
      </c>
      <c r="M61" s="66">
        <f t="shared" si="7"/>
        <v>9381.524980242813</v>
      </c>
      <c r="N61" s="66">
        <f t="shared" si="0"/>
        <v>2039370.1400182284</v>
      </c>
      <c r="P61" s="66">
        <f t="shared" si="1"/>
        <v>819.2927405784976</v>
      </c>
      <c r="Q61" s="67">
        <f>-PV(BondCalculator!$B$9/12,B61,0,1,0)</f>
        <v>0.7488044525116965</v>
      </c>
      <c r="S61" s="68">
        <f t="shared" si="2"/>
        <v>613.4900520556893</v>
      </c>
    </row>
    <row r="62" spans="1:19" ht="15" customHeight="1">
      <c r="A62" s="63" t="s">
        <v>99</v>
      </c>
      <c r="B62" s="74">
        <v>59</v>
      </c>
      <c r="C62" s="64">
        <f t="shared" si="8"/>
        <v>2177796.507061455</v>
      </c>
      <c r="D62" s="64">
        <f>IF(G61=0,0,IF(G61&lt;BondCalculator!$B$12,G61+E62,BondCalculator!$B$12))</f>
        <v>19759.39962294191</v>
      </c>
      <c r="E62" s="64">
        <f>C62*BondCalculator!$B$5/12</f>
        <v>13157.52056349629</v>
      </c>
      <c r="F62" s="64">
        <f t="shared" si="3"/>
        <v>6601.87905944562</v>
      </c>
      <c r="G62" s="64">
        <f t="shared" si="4"/>
        <v>2171194.6280020094</v>
      </c>
      <c r="H62" s="76">
        <f t="shared" si="5"/>
        <v>0.8684778512008038</v>
      </c>
      <c r="J62" s="66">
        <f t="shared" si="6"/>
        <v>2039370.1400182284</v>
      </c>
      <c r="K62" s="66">
        <f>IF(N61=0,0,IF(N61&lt;BondCalculator!$B$12+BondCalculator!$B$7,N61+L62,BondCalculator!$B$12+BondCalculator!$B$7))</f>
        <v>21759.39962294191</v>
      </c>
      <c r="L62" s="66">
        <f>J62*BondCalculator!$B$5/12</f>
        <v>12321.194595943462</v>
      </c>
      <c r="M62" s="66">
        <f t="shared" si="7"/>
        <v>9438.205026998448</v>
      </c>
      <c r="N62" s="66">
        <f t="shared" si="0"/>
        <v>2029931.93499123</v>
      </c>
      <c r="P62" s="66">
        <f t="shared" si="1"/>
        <v>836.3259675528279</v>
      </c>
      <c r="Q62" s="67">
        <f>-PV(BondCalculator!$B$9/12,B62,0,1,0)</f>
        <v>0.7450790572255688</v>
      </c>
      <c r="S62" s="68">
        <f t="shared" si="2"/>
        <v>623.1289634375227</v>
      </c>
    </row>
    <row r="63" spans="1:19" ht="15" customHeight="1">
      <c r="A63" s="63" t="s">
        <v>99</v>
      </c>
      <c r="B63" s="74">
        <v>60</v>
      </c>
      <c r="C63" s="64">
        <f t="shared" si="8"/>
        <v>2171194.6280020094</v>
      </c>
      <c r="D63" s="64">
        <f>IF(G62=0,0,IF(G62&lt;BondCalculator!$B$12,G62+E63,BondCalculator!$B$12))</f>
        <v>19759.39962294191</v>
      </c>
      <c r="E63" s="64">
        <f>C63*BondCalculator!$B$5/12</f>
        <v>13117.634210845472</v>
      </c>
      <c r="F63" s="64">
        <f t="shared" si="3"/>
        <v>6641.765412096438</v>
      </c>
      <c r="G63" s="64">
        <f t="shared" si="4"/>
        <v>2164552.862589913</v>
      </c>
      <c r="H63" s="76">
        <f t="shared" si="5"/>
        <v>0.8658211450359652</v>
      </c>
      <c r="J63" s="66">
        <f t="shared" si="6"/>
        <v>2029931.93499123</v>
      </c>
      <c r="K63" s="66">
        <f>IF(N62=0,0,IF(N62&lt;BondCalculator!$B$12+BondCalculator!$B$7,N62+L63,BondCalculator!$B$12+BondCalculator!$B$7))</f>
        <v>21759.39962294191</v>
      </c>
      <c r="L63" s="66">
        <f>J63*BondCalculator!$B$5/12</f>
        <v>12264.17210723868</v>
      </c>
      <c r="M63" s="66">
        <f t="shared" si="7"/>
        <v>9495.227515703229</v>
      </c>
      <c r="N63" s="66">
        <f t="shared" si="0"/>
        <v>2020436.7074755267</v>
      </c>
      <c r="P63" s="66">
        <f t="shared" si="1"/>
        <v>853.4621036067911</v>
      </c>
      <c r="Q63" s="67">
        <f>-PV(BondCalculator!$B$9/12,B63,0,1,0)</f>
        <v>0.7413721962443471</v>
      </c>
      <c r="S63" s="68">
        <f t="shared" si="2"/>
        <v>632.7330741622873</v>
      </c>
    </row>
    <row r="64" spans="1:19" ht="15" customHeight="1">
      <c r="A64" s="63" t="s">
        <v>100</v>
      </c>
      <c r="B64" s="74">
        <v>61</v>
      </c>
      <c r="C64" s="64">
        <f t="shared" si="8"/>
        <v>2164552.862589913</v>
      </c>
      <c r="D64" s="64">
        <f>IF(G63=0,0,IF(G63&lt;BondCalculator!$B$12,G63+E64,BondCalculator!$B$12))</f>
        <v>19759.39962294191</v>
      </c>
      <c r="E64" s="64">
        <f>C64*BondCalculator!$B$5/12</f>
        <v>13077.50687814739</v>
      </c>
      <c r="F64" s="64">
        <f t="shared" si="3"/>
        <v>6681.892744794521</v>
      </c>
      <c r="G64" s="64">
        <f t="shared" si="4"/>
        <v>2157870.9698451185</v>
      </c>
      <c r="H64" s="76">
        <f t="shared" si="5"/>
        <v>0.8631483879380474</v>
      </c>
      <c r="J64" s="66">
        <f t="shared" si="6"/>
        <v>2020436.7074755267</v>
      </c>
      <c r="K64" s="66">
        <f>IF(N63=0,0,IF(N63&lt;BondCalculator!$B$12+BondCalculator!$B$7,N63+L64,BondCalculator!$B$12+BondCalculator!$B$7))</f>
        <v>21759.39962294191</v>
      </c>
      <c r="L64" s="66">
        <f>J64*BondCalculator!$B$5/12</f>
        <v>12206.805107664639</v>
      </c>
      <c r="M64" s="66">
        <f t="shared" si="7"/>
        <v>9552.594515277271</v>
      </c>
      <c r="N64" s="66">
        <f t="shared" si="0"/>
        <v>2010884.1129602494</v>
      </c>
      <c r="P64" s="66">
        <f t="shared" si="1"/>
        <v>870.7017704827504</v>
      </c>
      <c r="Q64" s="67">
        <f>-PV(BondCalculator!$B$9/12,B64,0,1,0)</f>
        <v>0.7376837773575594</v>
      </c>
      <c r="S64" s="68">
        <f t="shared" si="2"/>
        <v>642.30257100163</v>
      </c>
    </row>
    <row r="65" spans="1:19" ht="15" customHeight="1">
      <c r="A65" s="63" t="s">
        <v>100</v>
      </c>
      <c r="B65" s="74">
        <v>62</v>
      </c>
      <c r="C65" s="64">
        <f t="shared" si="8"/>
        <v>2157870.9698451185</v>
      </c>
      <c r="D65" s="64">
        <f>IF(G64=0,0,IF(G64&lt;BondCalculator!$B$12,G64+E65,BondCalculator!$B$12))</f>
        <v>19759.39962294191</v>
      </c>
      <c r="E65" s="64">
        <f>C65*BondCalculator!$B$5/12</f>
        <v>13037.137109480924</v>
      </c>
      <c r="F65" s="64">
        <f t="shared" si="3"/>
        <v>6722.262513460986</v>
      </c>
      <c r="G65" s="64">
        <f t="shared" si="4"/>
        <v>2151148.7073316574</v>
      </c>
      <c r="H65" s="76">
        <f t="shared" si="5"/>
        <v>0.860459482932663</v>
      </c>
      <c r="J65" s="66">
        <f t="shared" si="6"/>
        <v>2010884.1129602494</v>
      </c>
      <c r="K65" s="66">
        <f>IF(N64=0,0,IF(N64&lt;BondCalculator!$B$12+BondCalculator!$B$7,N64+L65,BondCalculator!$B$12+BondCalculator!$B$7))</f>
        <v>21759.39962294191</v>
      </c>
      <c r="L65" s="66">
        <f>J65*BondCalculator!$B$5/12</f>
        <v>12149.091515801505</v>
      </c>
      <c r="M65" s="66">
        <f t="shared" si="7"/>
        <v>9610.308107140405</v>
      </c>
      <c r="N65" s="66">
        <f t="shared" si="0"/>
        <v>2001273.804853109</v>
      </c>
      <c r="P65" s="66">
        <f t="shared" si="1"/>
        <v>888.0455936794187</v>
      </c>
      <c r="Q65" s="67">
        <f>-PV(BondCalculator!$B$9/12,B65,0,1,0)</f>
        <v>0.7340137088134921</v>
      </c>
      <c r="S65" s="68">
        <f t="shared" si="2"/>
        <v>651.8376398121096</v>
      </c>
    </row>
    <row r="66" spans="1:19" ht="15" customHeight="1">
      <c r="A66" s="63" t="s">
        <v>100</v>
      </c>
      <c r="B66" s="74">
        <v>63</v>
      </c>
      <c r="C66" s="64">
        <f t="shared" si="8"/>
        <v>2151148.7073316574</v>
      </c>
      <c r="D66" s="64">
        <f>IF(G65=0,0,IF(G65&lt;BondCalculator!$B$12,G65+E66,BondCalculator!$B$12))</f>
        <v>19759.39962294191</v>
      </c>
      <c r="E66" s="64">
        <f>C66*BondCalculator!$B$5/12</f>
        <v>12996.523440128762</v>
      </c>
      <c r="F66" s="64">
        <f t="shared" si="3"/>
        <v>6762.876182813148</v>
      </c>
      <c r="G66" s="64">
        <f t="shared" si="4"/>
        <v>2144385.831148844</v>
      </c>
      <c r="H66" s="76">
        <f t="shared" si="5"/>
        <v>0.8577543324595377</v>
      </c>
      <c r="J66" s="66">
        <f t="shared" si="6"/>
        <v>2001273.804853109</v>
      </c>
      <c r="K66" s="66">
        <f>IF(N65=0,0,IF(N65&lt;BondCalculator!$B$12+BondCalculator!$B$7,N65+L66,BondCalculator!$B$12+BondCalculator!$B$7))</f>
        <v>21759.39962294191</v>
      </c>
      <c r="L66" s="66">
        <f>J66*BondCalculator!$B$5/12</f>
        <v>12091.029237654198</v>
      </c>
      <c r="M66" s="66">
        <f t="shared" si="7"/>
        <v>9668.370385287712</v>
      </c>
      <c r="N66" s="66">
        <f t="shared" si="0"/>
        <v>1991605.4344678211</v>
      </c>
      <c r="P66" s="66">
        <f t="shared" si="1"/>
        <v>905.4942024745633</v>
      </c>
      <c r="Q66" s="67">
        <f>-PV(BondCalculator!$B$9/12,B66,0,1,0)</f>
        <v>0.7303618993169076</v>
      </c>
      <c r="S66" s="68">
        <f t="shared" si="2"/>
        <v>661.3384655397706</v>
      </c>
    </row>
    <row r="67" spans="1:19" ht="15" customHeight="1">
      <c r="A67" s="63" t="s">
        <v>100</v>
      </c>
      <c r="B67" s="74">
        <v>64</v>
      </c>
      <c r="C67" s="64">
        <f t="shared" si="8"/>
        <v>2144385.831148844</v>
      </c>
      <c r="D67" s="64">
        <f>IF(G66=0,0,IF(G66&lt;BondCalculator!$B$12,G66+E67,BondCalculator!$B$12))</f>
        <v>19759.39962294191</v>
      </c>
      <c r="E67" s="64">
        <f>C67*BondCalculator!$B$5/12</f>
        <v>12955.664396524267</v>
      </c>
      <c r="F67" s="64">
        <f t="shared" si="3"/>
        <v>6803.7352264176425</v>
      </c>
      <c r="G67" s="64">
        <f t="shared" si="4"/>
        <v>2137582.095922427</v>
      </c>
      <c r="H67" s="76">
        <f t="shared" si="5"/>
        <v>0.8550328383689707</v>
      </c>
      <c r="J67" s="66">
        <f t="shared" si="6"/>
        <v>1991605.4344678211</v>
      </c>
      <c r="K67" s="66">
        <f>IF(N66=0,0,IF(N66&lt;BondCalculator!$B$12+BondCalculator!$B$7,N66+L67,BondCalculator!$B$12+BondCalculator!$B$7))</f>
        <v>21759.39962294191</v>
      </c>
      <c r="L67" s="66">
        <f>J67*BondCalculator!$B$5/12</f>
        <v>12032.616166576418</v>
      </c>
      <c r="M67" s="66">
        <f t="shared" si="7"/>
        <v>9726.783456365492</v>
      </c>
      <c r="N67" s="66">
        <f t="shared" si="0"/>
        <v>1981878.6510114556</v>
      </c>
      <c r="P67" s="66">
        <f t="shared" si="1"/>
        <v>923.0482299478499</v>
      </c>
      <c r="Q67" s="67">
        <f>-PV(BondCalculator!$B$9/12,B67,0,1,0)</f>
        <v>0.7267282580267739</v>
      </c>
      <c r="S67" s="68">
        <f t="shared" si="2"/>
        <v>670.805232224698</v>
      </c>
    </row>
    <row r="68" spans="1:19" ht="15" customHeight="1">
      <c r="A68" s="63" t="s">
        <v>100</v>
      </c>
      <c r="B68" s="74">
        <v>65</v>
      </c>
      <c r="C68" s="64">
        <f t="shared" si="8"/>
        <v>2137582.095922427</v>
      </c>
      <c r="D68" s="64">
        <f>IF(G67=0,0,IF(G67&lt;BondCalculator!$B$12,G67+E68,BondCalculator!$B$12))</f>
        <v>19759.39962294191</v>
      </c>
      <c r="E68" s="64">
        <f>C68*BondCalculator!$B$5/12</f>
        <v>12914.558496197993</v>
      </c>
      <c r="F68" s="64">
        <f t="shared" si="3"/>
        <v>6844.841126743917</v>
      </c>
      <c r="G68" s="64">
        <f t="shared" si="4"/>
        <v>2130737.254795683</v>
      </c>
      <c r="H68" s="76">
        <f t="shared" si="5"/>
        <v>0.8522949019182733</v>
      </c>
      <c r="J68" s="66">
        <f t="shared" si="6"/>
        <v>1981878.6510114556</v>
      </c>
      <c r="K68" s="66">
        <f>IF(N67=0,0,IF(N67&lt;BondCalculator!$B$12+BondCalculator!$B$7,N67+L68,BondCalculator!$B$12+BondCalculator!$B$7))</f>
        <v>21759.39962294191</v>
      </c>
      <c r="L68" s="66">
        <f>J68*BondCalculator!$B$5/12</f>
        <v>11973.85018319421</v>
      </c>
      <c r="M68" s="66">
        <f t="shared" si="7"/>
        <v>9785.5494397477</v>
      </c>
      <c r="N68" s="66">
        <f aca="true" t="shared" si="9" ref="N68:N131">J68-M68</f>
        <v>1972093.101571708</v>
      </c>
      <c r="P68" s="66">
        <f aca="true" t="shared" si="10" ref="P68:P131">E68-L68</f>
        <v>940.7083130037827</v>
      </c>
      <c r="Q68" s="67">
        <f>-PV(BondCalculator!$B$9/12,B68,0,1,0)</f>
        <v>0.723112694554004</v>
      </c>
      <c r="S68" s="68">
        <f aca="true" t="shared" si="11" ref="S68:S131">P68*Q68</f>
        <v>680.2381230055166</v>
      </c>
    </row>
    <row r="69" spans="1:19" ht="15" customHeight="1">
      <c r="A69" s="63" t="s">
        <v>100</v>
      </c>
      <c r="B69" s="74">
        <v>66</v>
      </c>
      <c r="C69" s="64">
        <f t="shared" si="8"/>
        <v>2130737.254795683</v>
      </c>
      <c r="D69" s="64">
        <f>IF(G68=0,0,IF(G68&lt;BondCalculator!$B$12,G68+E69,BondCalculator!$B$12))</f>
        <v>19759.39962294191</v>
      </c>
      <c r="E69" s="64">
        <f>C69*BondCalculator!$B$5/12</f>
        <v>12873.204247723917</v>
      </c>
      <c r="F69" s="64">
        <f aca="true" t="shared" si="12" ref="F69:F132">D69-E69</f>
        <v>6886.1953752179925</v>
      </c>
      <c r="G69" s="64">
        <f aca="true" t="shared" si="13" ref="G69:G132">IF(ROUND(C69-F69,2)=0,0,C69-F69)</f>
        <v>2123851.059420465</v>
      </c>
      <c r="H69" s="76">
        <f aca="true" t="shared" si="14" ref="H69:H132">IF($C$4=0,0,G69/$C$4)</f>
        <v>0.8495404237681861</v>
      </c>
      <c r="J69" s="66">
        <f aca="true" t="shared" si="15" ref="J69:J132">IF(ROUND(N68,0)&gt;0,N68,0)</f>
        <v>1972093.101571708</v>
      </c>
      <c r="K69" s="66">
        <f>IF(N68=0,0,IF(N68&lt;BondCalculator!$B$12+BondCalculator!$B$7,N68+L69,BondCalculator!$B$12+BondCalculator!$B$7))</f>
        <v>21759.39962294191</v>
      </c>
      <c r="L69" s="66">
        <f>J69*BondCalculator!$B$5/12</f>
        <v>11914.729155329069</v>
      </c>
      <c r="M69" s="66">
        <f aca="true" t="shared" si="16" ref="M69:M132">IF(K69-L69&gt;N68,N68,K69-L69)</f>
        <v>9844.670467612841</v>
      </c>
      <c r="N69" s="66">
        <f t="shared" si="9"/>
        <v>1962248.4311040952</v>
      </c>
      <c r="P69" s="66">
        <f t="shared" si="10"/>
        <v>958.4750923948486</v>
      </c>
      <c r="Q69" s="67">
        <f>-PV(BondCalculator!$B$9/12,B69,0,1,0)</f>
        <v>0.719515118959208</v>
      </c>
      <c r="S69" s="68">
        <f t="shared" si="11"/>
        <v>689.6373201239174</v>
      </c>
    </row>
    <row r="70" spans="1:19" ht="15" customHeight="1">
      <c r="A70" s="63" t="s">
        <v>100</v>
      </c>
      <c r="B70" s="74">
        <v>67</v>
      </c>
      <c r="C70" s="64">
        <f aca="true" t="shared" si="17" ref="C70:C133">G69</f>
        <v>2123851.059420465</v>
      </c>
      <c r="D70" s="64">
        <f>IF(G69=0,0,IF(G69&lt;BondCalculator!$B$12,G69+E70,BondCalculator!$B$12))</f>
        <v>19759.39962294191</v>
      </c>
      <c r="E70" s="64">
        <f>C70*BondCalculator!$B$5/12</f>
        <v>12831.60015066531</v>
      </c>
      <c r="F70" s="64">
        <f t="shared" si="12"/>
        <v>6927.7994722766</v>
      </c>
      <c r="G70" s="64">
        <f t="shared" si="13"/>
        <v>2116923.2599481884</v>
      </c>
      <c r="H70" s="76">
        <f t="shared" si="14"/>
        <v>0.8467693039792754</v>
      </c>
      <c r="J70" s="66">
        <f t="shared" si="15"/>
        <v>1962248.4311040952</v>
      </c>
      <c r="K70" s="66">
        <f>IF(N69=0,0,IF(N69&lt;BondCalculator!$B$12+BondCalculator!$B$7,N69+L70,BondCalculator!$B$12+BondCalculator!$B$7))</f>
        <v>21759.39962294191</v>
      </c>
      <c r="L70" s="66">
        <f>J70*BondCalculator!$B$5/12</f>
        <v>11855.250937920575</v>
      </c>
      <c r="M70" s="66">
        <f t="shared" si="16"/>
        <v>9904.148685021335</v>
      </c>
      <c r="N70" s="66">
        <f t="shared" si="9"/>
        <v>1952344.2824190739</v>
      </c>
      <c r="P70" s="66">
        <f t="shared" si="10"/>
        <v>976.3492127447353</v>
      </c>
      <c r="Q70" s="67">
        <f>-PV(BondCalculator!$B$9/12,B70,0,1,0)</f>
        <v>0.7159354417504558</v>
      </c>
      <c r="S70" s="68">
        <f t="shared" si="11"/>
        <v>699.0030049291117</v>
      </c>
    </row>
    <row r="71" spans="1:19" ht="15" customHeight="1">
      <c r="A71" s="63" t="s">
        <v>100</v>
      </c>
      <c r="B71" s="74">
        <v>68</v>
      </c>
      <c r="C71" s="64">
        <f t="shared" si="17"/>
        <v>2116923.2599481884</v>
      </c>
      <c r="D71" s="64">
        <f>IF(G70=0,0,IF(G70&lt;BondCalculator!$B$12,G70+E71,BondCalculator!$B$12))</f>
        <v>19759.39962294191</v>
      </c>
      <c r="E71" s="64">
        <f>C71*BondCalculator!$B$5/12</f>
        <v>12789.744695520305</v>
      </c>
      <c r="F71" s="64">
        <f t="shared" si="12"/>
        <v>6969.654927421605</v>
      </c>
      <c r="G71" s="64">
        <f t="shared" si="13"/>
        <v>2109953.6050207666</v>
      </c>
      <c r="H71" s="76">
        <f t="shared" si="14"/>
        <v>0.8439814420083066</v>
      </c>
      <c r="J71" s="66">
        <f t="shared" si="15"/>
        <v>1952344.2824190739</v>
      </c>
      <c r="K71" s="66">
        <f>IF(N70=0,0,IF(N70&lt;BondCalculator!$B$12+BondCalculator!$B$7,N70+L71,BondCalculator!$B$12+BondCalculator!$B$7))</f>
        <v>21759.39962294191</v>
      </c>
      <c r="L71" s="66">
        <f>J71*BondCalculator!$B$5/12</f>
        <v>11795.41337294857</v>
      </c>
      <c r="M71" s="66">
        <f t="shared" si="16"/>
        <v>9963.98624999334</v>
      </c>
      <c r="N71" s="66">
        <f t="shared" si="9"/>
        <v>1942380.2961690805</v>
      </c>
      <c r="P71" s="66">
        <f t="shared" si="10"/>
        <v>994.3313225717357</v>
      </c>
      <c r="Q71" s="67">
        <f>-PV(BondCalculator!$B$9/12,B71,0,1,0)</f>
        <v>0.7123735738810507</v>
      </c>
      <c r="S71" s="68">
        <f t="shared" si="11"/>
        <v>708.3353578822991</v>
      </c>
    </row>
    <row r="72" spans="1:19" ht="15" customHeight="1">
      <c r="A72" s="63" t="s">
        <v>100</v>
      </c>
      <c r="B72" s="74">
        <v>69</v>
      </c>
      <c r="C72" s="64">
        <f t="shared" si="17"/>
        <v>2109953.6050207666</v>
      </c>
      <c r="D72" s="64">
        <f>IF(G71=0,0,IF(G71&lt;BondCalculator!$B$12,G71+E72,BondCalculator!$B$12))</f>
        <v>19759.39962294191</v>
      </c>
      <c r="E72" s="64">
        <f>C72*BondCalculator!$B$5/12</f>
        <v>12747.63636366713</v>
      </c>
      <c r="F72" s="64">
        <f t="shared" si="12"/>
        <v>7011.76325927478</v>
      </c>
      <c r="G72" s="64">
        <f t="shared" si="13"/>
        <v>2102941.8417614917</v>
      </c>
      <c r="H72" s="76">
        <f t="shared" si="14"/>
        <v>0.8411767367045967</v>
      </c>
      <c r="J72" s="66">
        <f t="shared" si="15"/>
        <v>1942380.2961690805</v>
      </c>
      <c r="K72" s="66">
        <f>IF(N71=0,0,IF(N71&lt;BondCalculator!$B$12+BondCalculator!$B$7,N71+L72,BondCalculator!$B$12+BondCalculator!$B$7))</f>
        <v>21759.39962294191</v>
      </c>
      <c r="L72" s="66">
        <f>J72*BondCalculator!$B$5/12</f>
        <v>11735.21428935486</v>
      </c>
      <c r="M72" s="66">
        <f t="shared" si="16"/>
        <v>10024.18533358705</v>
      </c>
      <c r="N72" s="66">
        <f t="shared" si="9"/>
        <v>1932356.1108354935</v>
      </c>
      <c r="P72" s="66">
        <f t="shared" si="10"/>
        <v>1012.4220743122696</v>
      </c>
      <c r="Q72" s="67">
        <f>-PV(BondCalculator!$B$9/12,B72,0,1,0)</f>
        <v>0.7088294267473143</v>
      </c>
      <c r="S72" s="68">
        <f t="shared" si="11"/>
        <v>717.634558561093</v>
      </c>
    </row>
    <row r="73" spans="1:19" ht="15" customHeight="1">
      <c r="A73" s="63" t="s">
        <v>100</v>
      </c>
      <c r="B73" s="74">
        <v>70</v>
      </c>
      <c r="C73" s="64">
        <f t="shared" si="17"/>
        <v>2102941.8417614917</v>
      </c>
      <c r="D73" s="64">
        <f>IF(G72=0,0,IF(G72&lt;BondCalculator!$B$12,G72+E73,BondCalculator!$B$12))</f>
        <v>19759.39962294191</v>
      </c>
      <c r="E73" s="64">
        <f>C73*BondCalculator!$B$5/12</f>
        <v>12705.273627309012</v>
      </c>
      <c r="F73" s="64">
        <f t="shared" si="12"/>
        <v>7054.125995632898</v>
      </c>
      <c r="G73" s="64">
        <f t="shared" si="13"/>
        <v>2095887.7157658588</v>
      </c>
      <c r="H73" s="76">
        <f t="shared" si="14"/>
        <v>0.8383550863063435</v>
      </c>
      <c r="J73" s="66">
        <f t="shared" si="15"/>
        <v>1932356.1108354935</v>
      </c>
      <c r="K73" s="66">
        <f>IF(N72=0,0,IF(N72&lt;BondCalculator!$B$12+BondCalculator!$B$7,N72+L73,BondCalculator!$B$12+BondCalculator!$B$7))</f>
        <v>21759.39962294191</v>
      </c>
      <c r="L73" s="66">
        <f>J73*BondCalculator!$B$5/12</f>
        <v>11674.651502964438</v>
      </c>
      <c r="M73" s="66">
        <f t="shared" si="16"/>
        <v>10084.748119977472</v>
      </c>
      <c r="N73" s="66">
        <f t="shared" si="9"/>
        <v>1922271.362715516</v>
      </c>
      <c r="P73" s="66">
        <f t="shared" si="10"/>
        <v>1030.6221243445743</v>
      </c>
      <c r="Q73" s="67">
        <f>-PV(BondCalculator!$B$9/12,B73,0,1,0)</f>
        <v>0.7053029121863825</v>
      </c>
      <c r="S73" s="68">
        <f t="shared" si="11"/>
        <v>726.9007856639444</v>
      </c>
    </row>
    <row r="74" spans="1:19" ht="15" customHeight="1">
      <c r="A74" s="63" t="s">
        <v>100</v>
      </c>
      <c r="B74" s="74">
        <v>71</v>
      </c>
      <c r="C74" s="64">
        <f t="shared" si="17"/>
        <v>2095887.7157658588</v>
      </c>
      <c r="D74" s="64">
        <f>IF(G73=0,0,IF(G73&lt;BondCalculator!$B$12,G73+E74,BondCalculator!$B$12))</f>
        <v>19759.39962294191</v>
      </c>
      <c r="E74" s="64">
        <f>C74*BondCalculator!$B$5/12</f>
        <v>12662.65494941873</v>
      </c>
      <c r="F74" s="64">
        <f t="shared" si="12"/>
        <v>7096.744673523181</v>
      </c>
      <c r="G74" s="64">
        <f t="shared" si="13"/>
        <v>2088790.9710923356</v>
      </c>
      <c r="H74" s="76">
        <f t="shared" si="14"/>
        <v>0.8355163884369342</v>
      </c>
      <c r="J74" s="66">
        <f t="shared" si="15"/>
        <v>1922271.362715516</v>
      </c>
      <c r="K74" s="66">
        <f>IF(N73=0,0,IF(N73&lt;BondCalculator!$B$12+BondCalculator!$B$7,N73+L74,BondCalculator!$B$12+BondCalculator!$B$7))</f>
        <v>21759.39962294191</v>
      </c>
      <c r="L74" s="66">
        <f>J74*BondCalculator!$B$5/12</f>
        <v>11613.722816406242</v>
      </c>
      <c r="M74" s="66">
        <f t="shared" si="16"/>
        <v>10145.676806535668</v>
      </c>
      <c r="N74" s="66">
        <f t="shared" si="9"/>
        <v>1912125.6859089804</v>
      </c>
      <c r="P74" s="66">
        <f t="shared" si="10"/>
        <v>1048.9321330124876</v>
      </c>
      <c r="Q74" s="67">
        <f>-PV(BondCalculator!$B$9/12,B74,0,1,0)</f>
        <v>0.7017939424740125</v>
      </c>
      <c r="S74" s="68">
        <f t="shared" si="11"/>
        <v>736.134217014509</v>
      </c>
    </row>
    <row r="75" spans="1:19" ht="15" customHeight="1">
      <c r="A75" s="63" t="s">
        <v>100</v>
      </c>
      <c r="B75" s="74">
        <v>72</v>
      </c>
      <c r="C75" s="64">
        <f t="shared" si="17"/>
        <v>2088790.9710923356</v>
      </c>
      <c r="D75" s="64">
        <f>IF(G74=0,0,IF(G74&lt;BondCalculator!$B$12,G74+E75,BondCalculator!$B$12))</f>
        <v>19759.39962294191</v>
      </c>
      <c r="E75" s="64">
        <f>C75*BondCalculator!$B$5/12</f>
        <v>12619.77878368286</v>
      </c>
      <c r="F75" s="64">
        <f t="shared" si="12"/>
        <v>7139.620839259051</v>
      </c>
      <c r="G75" s="64">
        <f t="shared" si="13"/>
        <v>2081651.3502530765</v>
      </c>
      <c r="H75" s="76">
        <f t="shared" si="14"/>
        <v>0.8326605401012306</v>
      </c>
      <c r="J75" s="66">
        <f t="shared" si="15"/>
        <v>1912125.6859089804</v>
      </c>
      <c r="K75" s="66">
        <f>IF(N74=0,0,IF(N74&lt;BondCalculator!$B$12+BondCalculator!$B$7,N74+L75,BondCalculator!$B$12+BondCalculator!$B$7))</f>
        <v>21759.39962294191</v>
      </c>
      <c r="L75" s="66">
        <f>J75*BondCalculator!$B$5/12</f>
        <v>11552.426019033423</v>
      </c>
      <c r="M75" s="66">
        <f t="shared" si="16"/>
        <v>10206.973603908487</v>
      </c>
      <c r="N75" s="66">
        <f t="shared" si="9"/>
        <v>1901918.712305072</v>
      </c>
      <c r="P75" s="66">
        <f t="shared" si="10"/>
        <v>1067.3527646494367</v>
      </c>
      <c r="Q75" s="67">
        <f>-PV(BondCalculator!$B$9/12,B75,0,1,0)</f>
        <v>0.6983024303224006</v>
      </c>
      <c r="S75" s="68">
        <f t="shared" si="11"/>
        <v>745.3350295660349</v>
      </c>
    </row>
    <row r="76" spans="1:19" ht="15" customHeight="1">
      <c r="A76" s="63" t="s">
        <v>101</v>
      </c>
      <c r="B76" s="74">
        <v>73</v>
      </c>
      <c r="C76" s="64">
        <f t="shared" si="17"/>
        <v>2081651.3502530765</v>
      </c>
      <c r="D76" s="64">
        <f>IF(G75=0,0,IF(G75&lt;BondCalculator!$B$12,G75+E76,BondCalculator!$B$12))</f>
        <v>19759.39962294191</v>
      </c>
      <c r="E76" s="64">
        <f>C76*BondCalculator!$B$5/12</f>
        <v>12576.64357444567</v>
      </c>
      <c r="F76" s="64">
        <f t="shared" si="12"/>
        <v>7182.75604849624</v>
      </c>
      <c r="G76" s="64">
        <f t="shared" si="13"/>
        <v>2074468.5942045802</v>
      </c>
      <c r="H76" s="76">
        <f t="shared" si="14"/>
        <v>0.829787437681832</v>
      </c>
      <c r="J76" s="66">
        <f t="shared" si="15"/>
        <v>1901918.712305072</v>
      </c>
      <c r="K76" s="66">
        <f>IF(N75=0,0,IF(N75&lt;BondCalculator!$B$12+BondCalculator!$B$7,N75+L76,BondCalculator!$B$12+BondCalculator!$B$7))</f>
        <v>21759.39962294191</v>
      </c>
      <c r="L76" s="66">
        <f>J76*BondCalculator!$B$5/12</f>
        <v>11490.758886843143</v>
      </c>
      <c r="M76" s="66">
        <f t="shared" si="16"/>
        <v>10268.640736098767</v>
      </c>
      <c r="N76" s="66">
        <f t="shared" si="9"/>
        <v>1891650.0715689731</v>
      </c>
      <c r="P76" s="66">
        <f t="shared" si="10"/>
        <v>1085.8846876025273</v>
      </c>
      <c r="Q76" s="67">
        <f>-PV(BondCalculator!$B$9/12,B76,0,1,0)</f>
        <v>0.6948282888780105</v>
      </c>
      <c r="S76" s="68">
        <f t="shared" si="11"/>
        <v>754.503399405697</v>
      </c>
    </row>
    <row r="77" spans="1:19" ht="15" customHeight="1">
      <c r="A77" s="63" t="s">
        <v>101</v>
      </c>
      <c r="B77" s="74">
        <v>74</v>
      </c>
      <c r="C77" s="64">
        <f t="shared" si="17"/>
        <v>2074468.5942045802</v>
      </c>
      <c r="D77" s="64">
        <f>IF(G76=0,0,IF(G76&lt;BondCalculator!$B$12,G76+E77,BondCalculator!$B$12))</f>
        <v>19759.39962294191</v>
      </c>
      <c r="E77" s="64">
        <f>C77*BondCalculator!$B$5/12</f>
        <v>12533.247756652672</v>
      </c>
      <c r="F77" s="64">
        <f t="shared" si="12"/>
        <v>7226.151866289238</v>
      </c>
      <c r="G77" s="64">
        <f t="shared" si="13"/>
        <v>2067242.4423382909</v>
      </c>
      <c r="H77" s="76">
        <f t="shared" si="14"/>
        <v>0.8268969769353164</v>
      </c>
      <c r="J77" s="66">
        <f t="shared" si="15"/>
        <v>1891650.0715689731</v>
      </c>
      <c r="K77" s="66">
        <f>IF(N76=0,0,IF(N76&lt;BondCalculator!$B$12+BondCalculator!$B$7,N76+L77,BondCalculator!$B$12+BondCalculator!$B$7))</f>
        <v>21759.39962294191</v>
      </c>
      <c r="L77" s="66">
        <f>J77*BondCalculator!$B$5/12</f>
        <v>11428.719182395878</v>
      </c>
      <c r="M77" s="66">
        <f t="shared" si="16"/>
        <v>10330.680440546032</v>
      </c>
      <c r="N77" s="66">
        <f t="shared" si="9"/>
        <v>1881319.391128427</v>
      </c>
      <c r="P77" s="66">
        <f t="shared" si="10"/>
        <v>1104.528574256794</v>
      </c>
      <c r="Q77" s="67">
        <f>-PV(BondCalculator!$B$9/12,B77,0,1,0)</f>
        <v>0.6913714317194136</v>
      </c>
      <c r="S77" s="68">
        <f t="shared" si="11"/>
        <v>763.6395017589223</v>
      </c>
    </row>
    <row r="78" spans="1:19" ht="15" customHeight="1">
      <c r="A78" s="63" t="s">
        <v>101</v>
      </c>
      <c r="B78" s="74">
        <v>75</v>
      </c>
      <c r="C78" s="64">
        <f t="shared" si="17"/>
        <v>2067242.4423382909</v>
      </c>
      <c r="D78" s="64">
        <f>IF(G77=0,0,IF(G77&lt;BondCalculator!$B$12,G77+E78,BondCalculator!$B$12))</f>
        <v>19759.39962294191</v>
      </c>
      <c r="E78" s="64">
        <f>C78*BondCalculator!$B$5/12</f>
        <v>12489.589755793839</v>
      </c>
      <c r="F78" s="64">
        <f t="shared" si="12"/>
        <v>7269.809867148071</v>
      </c>
      <c r="G78" s="64">
        <f t="shared" si="13"/>
        <v>2059972.6324711428</v>
      </c>
      <c r="H78" s="76">
        <f t="shared" si="14"/>
        <v>0.8239890529884571</v>
      </c>
      <c r="J78" s="66">
        <f t="shared" si="15"/>
        <v>1881319.391128427</v>
      </c>
      <c r="K78" s="66">
        <f>IF(N77=0,0,IF(N77&lt;BondCalculator!$B$12+BondCalculator!$B$7,N77+L78,BondCalculator!$B$12+BondCalculator!$B$7))</f>
        <v>21759.39962294191</v>
      </c>
      <c r="L78" s="66">
        <f>J78*BondCalculator!$B$5/12</f>
        <v>11366.304654734246</v>
      </c>
      <c r="M78" s="66">
        <f t="shared" si="16"/>
        <v>10393.094968207664</v>
      </c>
      <c r="N78" s="66">
        <f t="shared" si="9"/>
        <v>1870926.2961602195</v>
      </c>
      <c r="P78" s="66">
        <f t="shared" si="10"/>
        <v>1123.2851010595932</v>
      </c>
      <c r="Q78" s="67">
        <f>-PV(BondCalculator!$B$9/12,B78,0,1,0)</f>
        <v>0.6879317728551381</v>
      </c>
      <c r="S78" s="68">
        <f t="shared" si="11"/>
        <v>772.7435109936889</v>
      </c>
    </row>
    <row r="79" spans="1:19" ht="15" customHeight="1">
      <c r="A79" s="63" t="s">
        <v>101</v>
      </c>
      <c r="B79" s="74">
        <v>76</v>
      </c>
      <c r="C79" s="64">
        <f t="shared" si="17"/>
        <v>2059972.6324711428</v>
      </c>
      <c r="D79" s="64">
        <f>IF(G78=0,0,IF(G78&lt;BondCalculator!$B$12,G78+E79,BondCalculator!$B$12))</f>
        <v>19759.39962294191</v>
      </c>
      <c r="E79" s="64">
        <f>C79*BondCalculator!$B$5/12</f>
        <v>12445.667987846487</v>
      </c>
      <c r="F79" s="64">
        <f t="shared" si="12"/>
        <v>7313.7316350954225</v>
      </c>
      <c r="G79" s="64">
        <f t="shared" si="13"/>
        <v>2052658.9008360475</v>
      </c>
      <c r="H79" s="76">
        <f t="shared" si="14"/>
        <v>0.821063560334419</v>
      </c>
      <c r="J79" s="66">
        <f t="shared" si="15"/>
        <v>1870926.2961602195</v>
      </c>
      <c r="K79" s="66">
        <f>IF(N78=0,0,IF(N78&lt;BondCalculator!$B$12+BondCalculator!$B$7,N78+L79,BondCalculator!$B$12+BondCalculator!$B$7))</f>
        <v>21759.39962294191</v>
      </c>
      <c r="L79" s="66">
        <f>J79*BondCalculator!$B$5/12</f>
        <v>11303.513039301324</v>
      </c>
      <c r="M79" s="66">
        <f t="shared" si="16"/>
        <v>10455.886583640586</v>
      </c>
      <c r="N79" s="66">
        <f t="shared" si="9"/>
        <v>1860470.409576579</v>
      </c>
      <c r="P79" s="66">
        <f t="shared" si="10"/>
        <v>1142.1549485451633</v>
      </c>
      <c r="Q79" s="67">
        <f>-PV(BondCalculator!$B$9/12,B79,0,1,0)</f>
        <v>0.6845092267215306</v>
      </c>
      <c r="S79" s="68">
        <f t="shared" si="11"/>
        <v>781.8156006248192</v>
      </c>
    </row>
    <row r="80" spans="1:19" ht="15" customHeight="1">
      <c r="A80" s="63" t="s">
        <v>101</v>
      </c>
      <c r="B80" s="74">
        <v>77</v>
      </c>
      <c r="C80" s="64">
        <f t="shared" si="17"/>
        <v>2052658.9008360475</v>
      </c>
      <c r="D80" s="64">
        <f>IF(G79=0,0,IF(G79&lt;BondCalculator!$B$12,G79+E80,BondCalculator!$B$12))</f>
        <v>19759.39962294191</v>
      </c>
      <c r="E80" s="64">
        <f>C80*BondCalculator!$B$5/12</f>
        <v>12401.480859217787</v>
      </c>
      <c r="F80" s="64">
        <f t="shared" si="12"/>
        <v>7357.918763724123</v>
      </c>
      <c r="G80" s="64">
        <f t="shared" si="13"/>
        <v>2045300.9820723233</v>
      </c>
      <c r="H80" s="76">
        <f t="shared" si="14"/>
        <v>0.8181203928289293</v>
      </c>
      <c r="J80" s="66">
        <f t="shared" si="15"/>
        <v>1860470.409576579</v>
      </c>
      <c r="K80" s="66">
        <f>IF(N79=0,0,IF(N79&lt;BondCalculator!$B$12+BondCalculator!$B$7,N79+L80,BondCalculator!$B$12+BondCalculator!$B$7))</f>
        <v>21759.39962294191</v>
      </c>
      <c r="L80" s="66">
        <f>J80*BondCalculator!$B$5/12</f>
        <v>11240.342057858497</v>
      </c>
      <c r="M80" s="66">
        <f t="shared" si="16"/>
        <v>10519.057565083413</v>
      </c>
      <c r="N80" s="66">
        <f t="shared" si="9"/>
        <v>1849951.3520114955</v>
      </c>
      <c r="P80" s="66">
        <f t="shared" si="10"/>
        <v>1161.1388013592896</v>
      </c>
      <c r="Q80" s="67">
        <f>-PV(BondCalculator!$B$9/12,B80,0,1,0)</f>
        <v>0.6811037081806275</v>
      </c>
      <c r="S80" s="68">
        <f t="shared" si="11"/>
        <v>790.8559433182212</v>
      </c>
    </row>
    <row r="81" spans="1:19" ht="15" customHeight="1">
      <c r="A81" s="63" t="s">
        <v>101</v>
      </c>
      <c r="B81" s="74">
        <v>78</v>
      </c>
      <c r="C81" s="64">
        <f t="shared" si="17"/>
        <v>2045300.9820723233</v>
      </c>
      <c r="D81" s="64">
        <f>IF(G80=0,0,IF(G80&lt;BondCalculator!$B$12,G80+E81,BondCalculator!$B$12))</f>
        <v>19759.39962294191</v>
      </c>
      <c r="E81" s="64">
        <f>C81*BondCalculator!$B$5/12</f>
        <v>12357.026766686953</v>
      </c>
      <c r="F81" s="64">
        <f t="shared" si="12"/>
        <v>7402.372856254957</v>
      </c>
      <c r="G81" s="64">
        <f t="shared" si="13"/>
        <v>2037898.6092160684</v>
      </c>
      <c r="H81" s="76">
        <f t="shared" si="14"/>
        <v>0.8151594436864273</v>
      </c>
      <c r="J81" s="66">
        <f t="shared" si="15"/>
        <v>1849951.3520114955</v>
      </c>
      <c r="K81" s="66">
        <f>IF(N80=0,0,IF(N80&lt;BondCalculator!$B$12+BondCalculator!$B$7,N80+L81,BondCalculator!$B$12+BondCalculator!$B$7))</f>
        <v>21759.39962294191</v>
      </c>
      <c r="L81" s="66">
        <f>J81*BondCalculator!$B$5/12</f>
        <v>11176.789418402785</v>
      </c>
      <c r="M81" s="66">
        <f t="shared" si="16"/>
        <v>10582.610204539125</v>
      </c>
      <c r="N81" s="66">
        <f t="shared" si="9"/>
        <v>1839368.7418069565</v>
      </c>
      <c r="P81" s="66">
        <f t="shared" si="10"/>
        <v>1180.2373482841685</v>
      </c>
      <c r="Q81" s="67">
        <f>-PV(BondCalculator!$B$9/12,B81,0,1,0)</f>
        <v>0.6777151325180375</v>
      </c>
      <c r="S81" s="68">
        <f t="shared" si="11"/>
        <v>799.8647108951425</v>
      </c>
    </row>
    <row r="82" spans="1:19" ht="15" customHeight="1">
      <c r="A82" s="63" t="s">
        <v>101</v>
      </c>
      <c r="B82" s="74">
        <v>79</v>
      </c>
      <c r="C82" s="64">
        <f t="shared" si="17"/>
        <v>2037898.6092160684</v>
      </c>
      <c r="D82" s="64">
        <f>IF(G81=0,0,IF(G81&lt;BondCalculator!$B$12,G81+E82,BondCalculator!$B$12))</f>
        <v>19759.39962294191</v>
      </c>
      <c r="E82" s="64">
        <f>C82*BondCalculator!$B$5/12</f>
        <v>12312.304097347078</v>
      </c>
      <c r="F82" s="64">
        <f t="shared" si="12"/>
        <v>7447.095525594832</v>
      </c>
      <c r="G82" s="64">
        <f t="shared" si="13"/>
        <v>2030451.5136904735</v>
      </c>
      <c r="H82" s="76">
        <f t="shared" si="14"/>
        <v>0.8121806054761894</v>
      </c>
      <c r="J82" s="66">
        <f t="shared" si="15"/>
        <v>1839368.7418069565</v>
      </c>
      <c r="K82" s="66">
        <f>IF(N81=0,0,IF(N81&lt;BondCalculator!$B$12+BondCalculator!$B$7,N81+L82,BondCalculator!$B$12+BondCalculator!$B$7))</f>
        <v>21759.39962294191</v>
      </c>
      <c r="L82" s="66">
        <f>J82*BondCalculator!$B$5/12</f>
        <v>11112.852815083694</v>
      </c>
      <c r="M82" s="66">
        <f t="shared" si="16"/>
        <v>10646.546807858216</v>
      </c>
      <c r="N82" s="66">
        <f t="shared" si="9"/>
        <v>1828722.1949990983</v>
      </c>
      <c r="P82" s="66">
        <f t="shared" si="10"/>
        <v>1199.4512822633842</v>
      </c>
      <c r="Q82" s="67">
        <f>-PV(BondCalculator!$B$9/12,B82,0,1,0)</f>
        <v>0.6743434154408334</v>
      </c>
      <c r="S82" s="68">
        <f t="shared" si="11"/>
        <v>808.8420743363777</v>
      </c>
    </row>
    <row r="83" spans="1:19" ht="15" customHeight="1">
      <c r="A83" s="63" t="s">
        <v>101</v>
      </c>
      <c r="B83" s="74">
        <v>80</v>
      </c>
      <c r="C83" s="64">
        <f t="shared" si="17"/>
        <v>2030451.5136904735</v>
      </c>
      <c r="D83" s="64">
        <f>IF(G82=0,0,IF(G82&lt;BondCalculator!$B$12,G82+E83,BondCalculator!$B$12))</f>
        <v>19759.39962294191</v>
      </c>
      <c r="E83" s="64">
        <f>C83*BondCalculator!$B$5/12</f>
        <v>12267.31122854661</v>
      </c>
      <c r="F83" s="64">
        <f t="shared" si="12"/>
        <v>7492.0883943952995</v>
      </c>
      <c r="G83" s="64">
        <f t="shared" si="13"/>
        <v>2022959.4252960782</v>
      </c>
      <c r="H83" s="76">
        <f t="shared" si="14"/>
        <v>0.8091837701184312</v>
      </c>
      <c r="J83" s="66">
        <f t="shared" si="15"/>
        <v>1828722.1949990983</v>
      </c>
      <c r="K83" s="66">
        <f>IF(N82=0,0,IF(N82&lt;BondCalculator!$B$12+BondCalculator!$B$7,N82+L83,BondCalculator!$B$12+BondCalculator!$B$7))</f>
        <v>21759.39962294191</v>
      </c>
      <c r="L83" s="66">
        <f>J83*BondCalculator!$B$5/12</f>
        <v>11048.529928119553</v>
      </c>
      <c r="M83" s="66">
        <f t="shared" si="16"/>
        <v>10710.869694822357</v>
      </c>
      <c r="N83" s="66">
        <f t="shared" si="9"/>
        <v>1818011.3253042758</v>
      </c>
      <c r="P83" s="66">
        <f t="shared" si="10"/>
        <v>1218.7813004270574</v>
      </c>
      <c r="Q83" s="67">
        <f>-PV(BondCalculator!$B$9/12,B83,0,1,0)</f>
        <v>0.6709884730754562</v>
      </c>
      <c r="S83" s="68">
        <f t="shared" si="11"/>
        <v>817.78820378647</v>
      </c>
    </row>
    <row r="84" spans="1:19" ht="15" customHeight="1">
      <c r="A84" s="63" t="s">
        <v>101</v>
      </c>
      <c r="B84" s="74">
        <v>81</v>
      </c>
      <c r="C84" s="64">
        <f t="shared" si="17"/>
        <v>2022959.4252960782</v>
      </c>
      <c r="D84" s="64">
        <f>IF(G83=0,0,IF(G83&lt;BondCalculator!$B$12,G83+E84,BondCalculator!$B$12))</f>
        <v>19759.39962294191</v>
      </c>
      <c r="E84" s="64">
        <f>C84*BondCalculator!$B$5/12</f>
        <v>12222.046527830471</v>
      </c>
      <c r="F84" s="64">
        <f t="shared" si="12"/>
        <v>7537.353095111439</v>
      </c>
      <c r="G84" s="64">
        <f t="shared" si="13"/>
        <v>2015422.0722009668</v>
      </c>
      <c r="H84" s="76">
        <f t="shared" si="14"/>
        <v>0.8061688288803867</v>
      </c>
      <c r="J84" s="66">
        <f t="shared" si="15"/>
        <v>1818011.3253042758</v>
      </c>
      <c r="K84" s="66">
        <f>IF(N83=0,0,IF(N83&lt;BondCalculator!$B$12+BondCalculator!$B$7,N83+L84,BondCalculator!$B$12+BondCalculator!$B$7))</f>
        <v>21759.39962294191</v>
      </c>
      <c r="L84" s="66">
        <f>J84*BondCalculator!$B$5/12</f>
        <v>10983.818423713332</v>
      </c>
      <c r="M84" s="66">
        <f t="shared" si="16"/>
        <v>10775.581199228578</v>
      </c>
      <c r="N84" s="66">
        <f t="shared" si="9"/>
        <v>1807235.7441050473</v>
      </c>
      <c r="P84" s="66">
        <f t="shared" si="10"/>
        <v>1238.228104117139</v>
      </c>
      <c r="Q84" s="67">
        <f>-PV(BondCalculator!$B$9/12,B84,0,1,0)</f>
        <v>0.6676502219656281</v>
      </c>
      <c r="S84" s="68">
        <f t="shared" si="11"/>
        <v>826.7032685578868</v>
      </c>
    </row>
    <row r="85" spans="1:19" ht="15" customHeight="1">
      <c r="A85" s="63" t="s">
        <v>101</v>
      </c>
      <c r="B85" s="74">
        <v>82</v>
      </c>
      <c r="C85" s="64">
        <f t="shared" si="17"/>
        <v>2015422.0722009668</v>
      </c>
      <c r="D85" s="64">
        <f>IF(G84=0,0,IF(G84&lt;BondCalculator!$B$12,G84+E85,BondCalculator!$B$12))</f>
        <v>19759.39962294191</v>
      </c>
      <c r="E85" s="64">
        <f>C85*BondCalculator!$B$5/12</f>
        <v>12176.508352880839</v>
      </c>
      <c r="F85" s="64">
        <f t="shared" si="12"/>
        <v>7582.891270061071</v>
      </c>
      <c r="G85" s="64">
        <f t="shared" si="13"/>
        <v>2007839.1809309057</v>
      </c>
      <c r="H85" s="76">
        <f t="shared" si="14"/>
        <v>0.8031356723723623</v>
      </c>
      <c r="J85" s="66">
        <f t="shared" si="15"/>
        <v>1807235.7441050473</v>
      </c>
      <c r="K85" s="66">
        <f>IF(N84=0,0,IF(N84&lt;BondCalculator!$B$12+BondCalculator!$B$7,N84+L85,BondCalculator!$B$12+BondCalculator!$B$7))</f>
        <v>21759.39962294191</v>
      </c>
      <c r="L85" s="66">
        <f>J85*BondCalculator!$B$5/12</f>
        <v>10918.715953967994</v>
      </c>
      <c r="M85" s="66">
        <f t="shared" si="16"/>
        <v>10840.683668973916</v>
      </c>
      <c r="N85" s="66">
        <f t="shared" si="9"/>
        <v>1796395.0604360735</v>
      </c>
      <c r="P85" s="66">
        <f t="shared" si="10"/>
        <v>1257.7923989128449</v>
      </c>
      <c r="Q85" s="67">
        <f>-PV(BondCalculator!$B$9/12,B85,0,1,0)</f>
        <v>0.6643285790702769</v>
      </c>
      <c r="S85" s="68">
        <f t="shared" si="11"/>
        <v>835.5874371351651</v>
      </c>
    </row>
    <row r="86" spans="1:19" ht="15" customHeight="1">
      <c r="A86" s="63" t="s">
        <v>101</v>
      </c>
      <c r="B86" s="74">
        <v>83</v>
      </c>
      <c r="C86" s="64">
        <f t="shared" si="17"/>
        <v>2007839.1809309057</v>
      </c>
      <c r="D86" s="64">
        <f>IF(G85=0,0,IF(G85&lt;BondCalculator!$B$12,G85+E86,BondCalculator!$B$12))</f>
        <v>19759.39962294191</v>
      </c>
      <c r="E86" s="64">
        <f>C86*BondCalculator!$B$5/12</f>
        <v>12130.695051457556</v>
      </c>
      <c r="F86" s="64">
        <f t="shared" si="12"/>
        <v>7628.704571484353</v>
      </c>
      <c r="G86" s="64">
        <f t="shared" si="13"/>
        <v>2000210.4763594214</v>
      </c>
      <c r="H86" s="76">
        <f t="shared" si="14"/>
        <v>0.8000841905437686</v>
      </c>
      <c r="J86" s="66">
        <f t="shared" si="15"/>
        <v>1796395.0604360735</v>
      </c>
      <c r="K86" s="66">
        <f>IF(N85=0,0,IF(N85&lt;BondCalculator!$B$12+BondCalculator!$B$7,N85+L86,BondCalculator!$B$12+BondCalculator!$B$7))</f>
        <v>21759.39962294191</v>
      </c>
      <c r="L86" s="66">
        <f>J86*BondCalculator!$B$5/12</f>
        <v>10853.220156801277</v>
      </c>
      <c r="M86" s="66">
        <f t="shared" si="16"/>
        <v>10906.179466140633</v>
      </c>
      <c r="N86" s="66">
        <f t="shared" si="9"/>
        <v>1785488.8809699328</v>
      </c>
      <c r="P86" s="66">
        <f t="shared" si="10"/>
        <v>1277.4748946562795</v>
      </c>
      <c r="Q86" s="67">
        <f>-PV(BondCalculator!$B$9/12,B86,0,1,0)</f>
        <v>0.6610234617614696</v>
      </c>
      <c r="S86" s="68">
        <f t="shared" si="11"/>
        <v>844.4408771790627</v>
      </c>
    </row>
    <row r="87" spans="1:19" ht="15" customHeight="1">
      <c r="A87" s="63" t="s">
        <v>101</v>
      </c>
      <c r="B87" s="74">
        <v>84</v>
      </c>
      <c r="C87" s="64">
        <f t="shared" si="17"/>
        <v>2000210.4763594214</v>
      </c>
      <c r="D87" s="64">
        <f>IF(G86=0,0,IF(G86&lt;BondCalculator!$B$12,G86+E87,BondCalculator!$B$12))</f>
        <v>19759.39962294191</v>
      </c>
      <c r="E87" s="64">
        <f>C87*BondCalculator!$B$5/12</f>
        <v>12084.60496133817</v>
      </c>
      <c r="F87" s="64">
        <f t="shared" si="12"/>
        <v>7674.794661603741</v>
      </c>
      <c r="G87" s="64">
        <f t="shared" si="13"/>
        <v>1992535.6816978178</v>
      </c>
      <c r="H87" s="76">
        <f t="shared" si="14"/>
        <v>0.7970142726791271</v>
      </c>
      <c r="J87" s="66">
        <f t="shared" si="15"/>
        <v>1785488.8809699328</v>
      </c>
      <c r="K87" s="66">
        <f>IF(N86=0,0,IF(N86&lt;BondCalculator!$B$12+BondCalculator!$B$7,N86+L87,BondCalculator!$B$12+BondCalculator!$B$7))</f>
        <v>21759.39962294191</v>
      </c>
      <c r="L87" s="66">
        <f>J87*BondCalculator!$B$5/12</f>
        <v>10787.32865586001</v>
      </c>
      <c r="M87" s="66">
        <f t="shared" si="16"/>
        <v>10972.0709670819</v>
      </c>
      <c r="N87" s="66">
        <f t="shared" si="9"/>
        <v>1774516.8100028508</v>
      </c>
      <c r="P87" s="66">
        <f t="shared" si="10"/>
        <v>1297.276305478159</v>
      </c>
      <c r="Q87" s="67">
        <f>-PV(BondCalculator!$B$9/12,B87,0,1,0)</f>
        <v>0.6577347878223578</v>
      </c>
      <c r="S87" s="68">
        <f t="shared" si="11"/>
        <v>853.2637555306492</v>
      </c>
    </row>
    <row r="88" spans="1:19" ht="15" customHeight="1">
      <c r="A88" s="63" t="s">
        <v>102</v>
      </c>
      <c r="B88" s="74">
        <v>85</v>
      </c>
      <c r="C88" s="64">
        <f t="shared" si="17"/>
        <v>1992535.6816978178</v>
      </c>
      <c r="D88" s="64">
        <f>IF(G87=0,0,IF(G87&lt;BondCalculator!$B$12,G87+E88,BondCalculator!$B$12))</f>
        <v>19759.39962294191</v>
      </c>
      <c r="E88" s="64">
        <f>C88*BondCalculator!$B$5/12</f>
        <v>12038.236410257648</v>
      </c>
      <c r="F88" s="64">
        <f t="shared" si="12"/>
        <v>7721.163212684261</v>
      </c>
      <c r="G88" s="64">
        <f t="shared" si="13"/>
        <v>1984814.5184851335</v>
      </c>
      <c r="H88" s="76">
        <f t="shared" si="14"/>
        <v>0.7939258073940534</v>
      </c>
      <c r="J88" s="66">
        <f t="shared" si="15"/>
        <v>1774516.8100028508</v>
      </c>
      <c r="K88" s="66">
        <f>IF(N87=0,0,IF(N87&lt;BondCalculator!$B$12+BondCalculator!$B$7,N87+L88,BondCalculator!$B$12+BondCalculator!$B$7))</f>
        <v>21759.39962294191</v>
      </c>
      <c r="L88" s="66">
        <f>J88*BondCalculator!$B$5/12</f>
        <v>10721.03906043389</v>
      </c>
      <c r="M88" s="66">
        <f t="shared" si="16"/>
        <v>11038.36056250802</v>
      </c>
      <c r="N88" s="66">
        <f t="shared" si="9"/>
        <v>1763478.4494403428</v>
      </c>
      <c r="P88" s="66">
        <f t="shared" si="10"/>
        <v>1317.1973498237585</v>
      </c>
      <c r="Q88" s="67">
        <f>-PV(BondCalculator!$B$9/12,B88,0,1,0)</f>
        <v>0.6544624754451325</v>
      </c>
      <c r="S88" s="68">
        <f t="shared" si="11"/>
        <v>862.0562382154251</v>
      </c>
    </row>
    <row r="89" spans="1:19" ht="15" customHeight="1">
      <c r="A89" s="63" t="s">
        <v>102</v>
      </c>
      <c r="B89" s="74">
        <v>86</v>
      </c>
      <c r="C89" s="64">
        <f t="shared" si="17"/>
        <v>1984814.5184851335</v>
      </c>
      <c r="D89" s="64">
        <f>IF(G88=0,0,IF(G88&lt;BondCalculator!$B$12,G88+E89,BondCalculator!$B$12))</f>
        <v>19759.39962294191</v>
      </c>
      <c r="E89" s="64">
        <f>C89*BondCalculator!$B$5/12</f>
        <v>11991.587715847681</v>
      </c>
      <c r="F89" s="64">
        <f t="shared" si="12"/>
        <v>7767.811907094228</v>
      </c>
      <c r="G89" s="64">
        <f t="shared" si="13"/>
        <v>1977046.7065780393</v>
      </c>
      <c r="H89" s="76">
        <f t="shared" si="14"/>
        <v>0.7908186826312157</v>
      </c>
      <c r="J89" s="66">
        <f t="shared" si="15"/>
        <v>1763478.4494403428</v>
      </c>
      <c r="K89" s="66">
        <f>IF(N88=0,0,IF(N88&lt;BondCalculator!$B$12+BondCalculator!$B$7,N88+L89,BondCalculator!$B$12+BondCalculator!$B$7))</f>
        <v>21759.39962294191</v>
      </c>
      <c r="L89" s="66">
        <f>J89*BondCalculator!$B$5/12</f>
        <v>10654.348965368737</v>
      </c>
      <c r="M89" s="66">
        <f t="shared" si="16"/>
        <v>11105.050657573172</v>
      </c>
      <c r="N89" s="66">
        <f t="shared" si="9"/>
        <v>1752373.3987827697</v>
      </c>
      <c r="P89" s="66">
        <f t="shared" si="10"/>
        <v>1337.238750478944</v>
      </c>
      <c r="Q89" s="67">
        <f>-PV(BondCalculator!$B$9/12,B89,0,1,0)</f>
        <v>0.6512064432289876</v>
      </c>
      <c r="S89" s="68">
        <f t="shared" si="11"/>
        <v>870.8184904473687</v>
      </c>
    </row>
    <row r="90" spans="1:19" ht="15" customHeight="1">
      <c r="A90" s="63" t="s">
        <v>102</v>
      </c>
      <c r="B90" s="74">
        <v>87</v>
      </c>
      <c r="C90" s="64">
        <f t="shared" si="17"/>
        <v>1977046.7065780393</v>
      </c>
      <c r="D90" s="64">
        <f>IF(G89=0,0,IF(G89&lt;BondCalculator!$B$12,G89+E90,BondCalculator!$B$12))</f>
        <v>19759.39962294191</v>
      </c>
      <c r="E90" s="64">
        <f>C90*BondCalculator!$B$5/12</f>
        <v>11944.657185575654</v>
      </c>
      <c r="F90" s="64">
        <f t="shared" si="12"/>
        <v>7814.742437366256</v>
      </c>
      <c r="G90" s="64">
        <f t="shared" si="13"/>
        <v>1969231.9641406732</v>
      </c>
      <c r="H90" s="76">
        <f t="shared" si="14"/>
        <v>0.7876927856562692</v>
      </c>
      <c r="J90" s="66">
        <f t="shared" si="15"/>
        <v>1752373.3987827697</v>
      </c>
      <c r="K90" s="66">
        <f>IF(N89=0,0,IF(N89&lt;BondCalculator!$B$12+BondCalculator!$B$7,N89+L90,BondCalculator!$B$12+BondCalculator!$B$7))</f>
        <v>21759.39962294191</v>
      </c>
      <c r="L90" s="66">
        <f>J90*BondCalculator!$B$5/12</f>
        <v>10587.255950979232</v>
      </c>
      <c r="M90" s="66">
        <f t="shared" si="16"/>
        <v>11172.143671962678</v>
      </c>
      <c r="N90" s="66">
        <f t="shared" si="9"/>
        <v>1741201.255110807</v>
      </c>
      <c r="P90" s="66">
        <f t="shared" si="10"/>
        <v>1357.401234596422</v>
      </c>
      <c r="Q90" s="67">
        <f>-PV(BondCalculator!$B$9/12,B90,0,1,0)</f>
        <v>0.6479666101780973</v>
      </c>
      <c r="S90" s="68">
        <f t="shared" si="11"/>
        <v>879.5506766330078</v>
      </c>
    </row>
    <row r="91" spans="1:19" ht="15" customHeight="1">
      <c r="A91" s="63" t="s">
        <v>102</v>
      </c>
      <c r="B91" s="74">
        <v>88</v>
      </c>
      <c r="C91" s="64">
        <f t="shared" si="17"/>
        <v>1969231.9641406732</v>
      </c>
      <c r="D91" s="64">
        <f>IF(G90=0,0,IF(G90&lt;BondCalculator!$B$12,G90+E91,BondCalculator!$B$12))</f>
        <v>19759.39962294191</v>
      </c>
      <c r="E91" s="64">
        <f>C91*BondCalculator!$B$5/12</f>
        <v>11897.443116683235</v>
      </c>
      <c r="F91" s="64">
        <f t="shared" si="12"/>
        <v>7861.956506258675</v>
      </c>
      <c r="G91" s="64">
        <f t="shared" si="13"/>
        <v>1961370.0076344146</v>
      </c>
      <c r="H91" s="76">
        <f t="shared" si="14"/>
        <v>0.7845480030537658</v>
      </c>
      <c r="J91" s="66">
        <f t="shared" si="15"/>
        <v>1741201.255110807</v>
      </c>
      <c r="K91" s="66">
        <f>IF(N90=0,0,IF(N90&lt;BondCalculator!$B$12+BondCalculator!$B$7,N90+L91,BondCalculator!$B$12+BondCalculator!$B$7))</f>
        <v>21759.39962294191</v>
      </c>
      <c r="L91" s="66">
        <f>J91*BondCalculator!$B$5/12</f>
        <v>10519.757582961125</v>
      </c>
      <c r="M91" s="66">
        <f t="shared" si="16"/>
        <v>11239.642039980785</v>
      </c>
      <c r="N91" s="66">
        <f t="shared" si="9"/>
        <v>1729961.6130708263</v>
      </c>
      <c r="P91" s="66">
        <f t="shared" si="10"/>
        <v>1377.6855337221095</v>
      </c>
      <c r="Q91" s="67">
        <f>-PV(BondCalculator!$B$9/12,B91,0,1,0)</f>
        <v>0.6447428956995992</v>
      </c>
      <c r="S91" s="68">
        <f t="shared" si="11"/>
        <v>888.2529603754407</v>
      </c>
    </row>
    <row r="92" spans="1:19" ht="15" customHeight="1">
      <c r="A92" s="63" t="s">
        <v>102</v>
      </c>
      <c r="B92" s="74">
        <v>89</v>
      </c>
      <c r="C92" s="64">
        <f t="shared" si="17"/>
        <v>1961370.0076344146</v>
      </c>
      <c r="D92" s="64">
        <f>IF(G91=0,0,IF(G91&lt;BondCalculator!$B$12,G91+E92,BondCalculator!$B$12))</f>
        <v>19759.39962294191</v>
      </c>
      <c r="E92" s="64">
        <f>C92*BondCalculator!$B$5/12</f>
        <v>11849.943796124588</v>
      </c>
      <c r="F92" s="64">
        <f t="shared" si="12"/>
        <v>7909.455826817322</v>
      </c>
      <c r="G92" s="64">
        <f t="shared" si="13"/>
        <v>1953460.5518075973</v>
      </c>
      <c r="H92" s="76">
        <f t="shared" si="14"/>
        <v>0.7813842207230389</v>
      </c>
      <c r="J92" s="66">
        <f t="shared" si="15"/>
        <v>1729961.6130708263</v>
      </c>
      <c r="K92" s="66">
        <f>IF(N91=0,0,IF(N91&lt;BondCalculator!$B$12+BondCalculator!$B$7,N91+L92,BondCalculator!$B$12+BondCalculator!$B$7))</f>
        <v>21759.39962294191</v>
      </c>
      <c r="L92" s="66">
        <f>J92*BondCalculator!$B$5/12</f>
        <v>10451.851412302907</v>
      </c>
      <c r="M92" s="66">
        <f t="shared" si="16"/>
        <v>11307.548210639003</v>
      </c>
      <c r="N92" s="66">
        <f t="shared" si="9"/>
        <v>1718654.0648601872</v>
      </c>
      <c r="P92" s="66">
        <f t="shared" si="10"/>
        <v>1398.0923838216804</v>
      </c>
      <c r="Q92" s="67">
        <f>-PV(BondCalculator!$B$9/12,B92,0,1,0)</f>
        <v>0.6415352196015913</v>
      </c>
      <c r="S92" s="68">
        <f t="shared" si="11"/>
        <v>896.925504478354</v>
      </c>
    </row>
    <row r="93" spans="1:19" ht="15" customHeight="1">
      <c r="A93" s="63" t="s">
        <v>102</v>
      </c>
      <c r="B93" s="74">
        <v>90</v>
      </c>
      <c r="C93" s="64">
        <f t="shared" si="17"/>
        <v>1953460.5518075973</v>
      </c>
      <c r="D93" s="64">
        <f>IF(G92=0,0,IF(G92&lt;BondCalculator!$B$12,G92+E93,BondCalculator!$B$12))</f>
        <v>19759.39962294191</v>
      </c>
      <c r="E93" s="64">
        <f>C93*BondCalculator!$B$5/12</f>
        <v>11802.157500504232</v>
      </c>
      <c r="F93" s="64">
        <f t="shared" si="12"/>
        <v>7957.242122437678</v>
      </c>
      <c r="G93" s="64">
        <f t="shared" si="13"/>
        <v>1945503.3096851597</v>
      </c>
      <c r="H93" s="76">
        <f t="shared" si="14"/>
        <v>0.7782013238740639</v>
      </c>
      <c r="J93" s="66">
        <f t="shared" si="15"/>
        <v>1718654.0648601872</v>
      </c>
      <c r="K93" s="66">
        <f>IF(N92=0,0,IF(N92&lt;BondCalculator!$B$12+BondCalculator!$B$7,N92+L93,BondCalculator!$B$12+BondCalculator!$B$7))</f>
        <v>21759.39962294191</v>
      </c>
      <c r="L93" s="66">
        <f>J93*BondCalculator!$B$5/12</f>
        <v>10383.534975196964</v>
      </c>
      <c r="M93" s="66">
        <f t="shared" si="16"/>
        <v>11375.864647744946</v>
      </c>
      <c r="N93" s="66">
        <f t="shared" si="9"/>
        <v>1707278.2002124423</v>
      </c>
      <c r="P93" s="66">
        <f t="shared" si="10"/>
        <v>1418.622525307268</v>
      </c>
      <c r="Q93" s="67">
        <f>-PV(BondCalculator!$B$9/12,B93,0,1,0)</f>
        <v>0.6383435020911358</v>
      </c>
      <c r="S93" s="68">
        <f t="shared" si="11"/>
        <v>905.5684709500124</v>
      </c>
    </row>
    <row r="94" spans="1:19" ht="15" customHeight="1">
      <c r="A94" s="63" t="s">
        <v>102</v>
      </c>
      <c r="B94" s="74">
        <v>91</v>
      </c>
      <c r="C94" s="64">
        <f t="shared" si="17"/>
        <v>1945503.3096851597</v>
      </c>
      <c r="D94" s="64">
        <f>IF(G93=0,0,IF(G93&lt;BondCalculator!$B$12,G93+E94,BondCalculator!$B$12))</f>
        <v>19759.39962294191</v>
      </c>
      <c r="E94" s="64">
        <f>C94*BondCalculator!$B$5/12</f>
        <v>11754.082496014506</v>
      </c>
      <c r="F94" s="64">
        <f t="shared" si="12"/>
        <v>8005.317126927404</v>
      </c>
      <c r="G94" s="64">
        <f t="shared" si="13"/>
        <v>1937497.9925582323</v>
      </c>
      <c r="H94" s="76">
        <f t="shared" si="14"/>
        <v>0.7749991970232929</v>
      </c>
      <c r="J94" s="66">
        <f t="shared" si="15"/>
        <v>1707278.2002124423</v>
      </c>
      <c r="K94" s="66">
        <f>IF(N93=0,0,IF(N93&lt;BondCalculator!$B$12+BondCalculator!$B$7,N93+L94,BondCalculator!$B$12+BondCalculator!$B$7))</f>
        <v>21759.39962294191</v>
      </c>
      <c r="L94" s="66">
        <f>J94*BondCalculator!$B$5/12</f>
        <v>10314.805792950172</v>
      </c>
      <c r="M94" s="66">
        <f t="shared" si="16"/>
        <v>11444.593829991738</v>
      </c>
      <c r="N94" s="66">
        <f t="shared" si="9"/>
        <v>1695833.6063824506</v>
      </c>
      <c r="P94" s="66">
        <f t="shared" si="10"/>
        <v>1439.2767030643336</v>
      </c>
      <c r="Q94" s="67">
        <f>-PV(BondCalculator!$B$9/12,B94,0,1,0)</f>
        <v>0.6351676637722745</v>
      </c>
      <c r="S94" s="68">
        <f t="shared" si="11"/>
        <v>914.1820210072344</v>
      </c>
    </row>
    <row r="95" spans="1:19" ht="15" customHeight="1">
      <c r="A95" s="63" t="s">
        <v>102</v>
      </c>
      <c r="B95" s="74">
        <v>92</v>
      </c>
      <c r="C95" s="64">
        <f t="shared" si="17"/>
        <v>1937497.9925582323</v>
      </c>
      <c r="D95" s="64">
        <f>IF(G94=0,0,IF(G94&lt;BondCalculator!$B$12,G94+E95,BondCalculator!$B$12))</f>
        <v>19759.39962294191</v>
      </c>
      <c r="E95" s="64">
        <f>C95*BondCalculator!$B$5/12</f>
        <v>11705.717038372653</v>
      </c>
      <c r="F95" s="64">
        <f t="shared" si="12"/>
        <v>8053.6825845692565</v>
      </c>
      <c r="G95" s="64">
        <f t="shared" si="13"/>
        <v>1929444.309973663</v>
      </c>
      <c r="H95" s="76">
        <f t="shared" si="14"/>
        <v>0.7717777239894652</v>
      </c>
      <c r="J95" s="66">
        <f t="shared" si="15"/>
        <v>1695833.6063824506</v>
      </c>
      <c r="K95" s="66">
        <f>IF(N94=0,0,IF(N94&lt;BondCalculator!$B$12+BondCalculator!$B$7,N94+L95,BondCalculator!$B$12+BondCalculator!$B$7))</f>
        <v>21759.39962294191</v>
      </c>
      <c r="L95" s="66">
        <f>J95*BondCalculator!$B$5/12</f>
        <v>10245.661371893972</v>
      </c>
      <c r="M95" s="66">
        <f t="shared" si="16"/>
        <v>11513.738251047938</v>
      </c>
      <c r="N95" s="66">
        <f t="shared" si="9"/>
        <v>1684319.8681314026</v>
      </c>
      <c r="P95" s="66">
        <f t="shared" si="10"/>
        <v>1460.0556664786818</v>
      </c>
      <c r="Q95" s="67">
        <f>-PV(BondCalculator!$B$9/12,B95,0,1,0)</f>
        <v>0.6320076256440543</v>
      </c>
      <c r="S95" s="68">
        <f t="shared" si="11"/>
        <v>922.7663150793389</v>
      </c>
    </row>
    <row r="96" spans="1:19" ht="15" customHeight="1">
      <c r="A96" s="63" t="s">
        <v>102</v>
      </c>
      <c r="B96" s="74">
        <v>93</v>
      </c>
      <c r="C96" s="64">
        <f t="shared" si="17"/>
        <v>1929444.309973663</v>
      </c>
      <c r="D96" s="64">
        <f>IF(G95=0,0,IF(G95&lt;BondCalculator!$B$12,G95+E96,BondCalculator!$B$12))</f>
        <v>19759.39962294191</v>
      </c>
      <c r="E96" s="64">
        <f>C96*BondCalculator!$B$5/12</f>
        <v>11657.059372757547</v>
      </c>
      <c r="F96" s="64">
        <f t="shared" si="12"/>
        <v>8102.340250184363</v>
      </c>
      <c r="G96" s="64">
        <f t="shared" si="13"/>
        <v>1921341.9697234787</v>
      </c>
      <c r="H96" s="76">
        <f t="shared" si="14"/>
        <v>0.7685367878893915</v>
      </c>
      <c r="J96" s="66">
        <f t="shared" si="15"/>
        <v>1684319.8681314026</v>
      </c>
      <c r="K96" s="66">
        <f>IF(N95=0,0,IF(N95&lt;BondCalculator!$B$12+BondCalculator!$B$7,N95+L96,BondCalculator!$B$12+BondCalculator!$B$7))</f>
        <v>21759.39962294191</v>
      </c>
      <c r="L96" s="66">
        <f>J96*BondCalculator!$B$5/12</f>
        <v>10176.09920329389</v>
      </c>
      <c r="M96" s="66">
        <f t="shared" si="16"/>
        <v>11583.30041964802</v>
      </c>
      <c r="N96" s="66">
        <f t="shared" si="9"/>
        <v>1672736.5677117547</v>
      </c>
      <c r="P96" s="66">
        <f t="shared" si="10"/>
        <v>1480.9601694636567</v>
      </c>
      <c r="Q96" s="67">
        <f>-PV(BondCalculator!$B$9/12,B96,0,1,0)</f>
        <v>0.6288633090985616</v>
      </c>
      <c r="S96" s="68">
        <f t="shared" si="11"/>
        <v>931.3215128120817</v>
      </c>
    </row>
    <row r="97" spans="1:19" ht="15" customHeight="1">
      <c r="A97" s="63" t="s">
        <v>102</v>
      </c>
      <c r="B97" s="74">
        <v>94</v>
      </c>
      <c r="C97" s="64">
        <f t="shared" si="17"/>
        <v>1921341.9697234787</v>
      </c>
      <c r="D97" s="64">
        <f>IF(G96=0,0,IF(G96&lt;BondCalculator!$B$12,G96+E97,BondCalculator!$B$12))</f>
        <v>19759.39962294191</v>
      </c>
      <c r="E97" s="64">
        <f>C97*BondCalculator!$B$5/12</f>
        <v>11608.107733746016</v>
      </c>
      <c r="F97" s="64">
        <f t="shared" si="12"/>
        <v>8151.291889195894</v>
      </c>
      <c r="G97" s="64">
        <f t="shared" si="13"/>
        <v>1913190.6778342829</v>
      </c>
      <c r="H97" s="76">
        <f t="shared" si="14"/>
        <v>0.7652762711337131</v>
      </c>
      <c r="J97" s="66">
        <f t="shared" si="15"/>
        <v>1672736.5677117547</v>
      </c>
      <c r="K97" s="66">
        <f>IF(N96=0,0,IF(N96&lt;BondCalculator!$B$12+BondCalculator!$B$7,N96+L97,BondCalculator!$B$12+BondCalculator!$B$7))</f>
        <v>21759.39962294191</v>
      </c>
      <c r="L97" s="66">
        <f>J97*BondCalculator!$B$5/12</f>
        <v>10106.116763258518</v>
      </c>
      <c r="M97" s="66">
        <f t="shared" si="16"/>
        <v>11653.282859683392</v>
      </c>
      <c r="N97" s="66">
        <f t="shared" si="9"/>
        <v>1661083.2848520712</v>
      </c>
      <c r="P97" s="66">
        <f t="shared" si="10"/>
        <v>1501.9909704874972</v>
      </c>
      <c r="Q97" s="67">
        <f>-PV(BondCalculator!$B$9/12,B97,0,1,0)</f>
        <v>0.6257346359189669</v>
      </c>
      <c r="S97" s="68">
        <f t="shared" si="11"/>
        <v>939.8477730715699</v>
      </c>
    </row>
    <row r="98" spans="1:19" ht="15" customHeight="1">
      <c r="A98" s="63" t="s">
        <v>102</v>
      </c>
      <c r="B98" s="74">
        <v>95</v>
      </c>
      <c r="C98" s="64">
        <f t="shared" si="17"/>
        <v>1913190.6778342829</v>
      </c>
      <c r="D98" s="64">
        <f>IF(G97=0,0,IF(G97&lt;BondCalculator!$B$12,G97+E98,BondCalculator!$B$12))</f>
        <v>19759.39962294191</v>
      </c>
      <c r="E98" s="64">
        <f>C98*BondCalculator!$B$5/12</f>
        <v>11558.860345248793</v>
      </c>
      <c r="F98" s="64">
        <f t="shared" si="12"/>
        <v>8200.539277693117</v>
      </c>
      <c r="G98" s="64">
        <f t="shared" si="13"/>
        <v>1904990.1385565898</v>
      </c>
      <c r="H98" s="76">
        <f t="shared" si="14"/>
        <v>0.7619960554226359</v>
      </c>
      <c r="J98" s="66">
        <f t="shared" si="15"/>
        <v>1661083.2848520712</v>
      </c>
      <c r="K98" s="66">
        <f>IF(N97=0,0,IF(N97&lt;BondCalculator!$B$12+BondCalculator!$B$7,N97+L98,BondCalculator!$B$12+BondCalculator!$B$7))</f>
        <v>21759.39962294191</v>
      </c>
      <c r="L98" s="66">
        <f>J98*BondCalculator!$B$5/12</f>
        <v>10035.71151264793</v>
      </c>
      <c r="M98" s="66">
        <f t="shared" si="16"/>
        <v>11723.68811029398</v>
      </c>
      <c r="N98" s="66">
        <f t="shared" si="9"/>
        <v>1649359.5967417771</v>
      </c>
      <c r="P98" s="66">
        <f t="shared" si="10"/>
        <v>1523.148832600864</v>
      </c>
      <c r="Q98" s="67">
        <f>-PV(BondCalculator!$B$9/12,B98,0,1,0)</f>
        <v>0.6226215282775792</v>
      </c>
      <c r="S98" s="68">
        <f t="shared" si="11"/>
        <v>948.3452539481606</v>
      </c>
    </row>
    <row r="99" spans="1:19" ht="15" customHeight="1">
      <c r="A99" s="63" t="s">
        <v>102</v>
      </c>
      <c r="B99" s="74">
        <v>96</v>
      </c>
      <c r="C99" s="64">
        <f t="shared" si="17"/>
        <v>1904990.1385565898</v>
      </c>
      <c r="D99" s="64">
        <f>IF(G98=0,0,IF(G98&lt;BondCalculator!$B$12,G98+E99,BondCalculator!$B$12))</f>
        <v>19759.39962294191</v>
      </c>
      <c r="E99" s="64">
        <f>C99*BondCalculator!$B$5/12</f>
        <v>11509.315420446064</v>
      </c>
      <c r="F99" s="64">
        <f t="shared" si="12"/>
        <v>8250.084202495846</v>
      </c>
      <c r="G99" s="64">
        <f t="shared" si="13"/>
        <v>1896740.054354094</v>
      </c>
      <c r="H99" s="76">
        <f t="shared" si="14"/>
        <v>0.7586960217416376</v>
      </c>
      <c r="J99" s="66">
        <f t="shared" si="15"/>
        <v>1649359.5967417771</v>
      </c>
      <c r="K99" s="66">
        <f>IF(N98=0,0,IF(N98&lt;BondCalculator!$B$12+BondCalculator!$B$7,N98+L99,BondCalculator!$B$12+BondCalculator!$B$7))</f>
        <v>21759.39962294191</v>
      </c>
      <c r="L99" s="66">
        <f>J99*BondCalculator!$B$5/12</f>
        <v>9964.88089698157</v>
      </c>
      <c r="M99" s="66">
        <f t="shared" si="16"/>
        <v>11794.51872596034</v>
      </c>
      <c r="N99" s="66">
        <f t="shared" si="9"/>
        <v>1637565.0780158169</v>
      </c>
      <c r="P99" s="66">
        <f t="shared" si="10"/>
        <v>1544.4345234644952</v>
      </c>
      <c r="Q99" s="67">
        <f>-PV(BondCalculator!$B$9/12,B99,0,1,0)</f>
        <v>0.6195239087339097</v>
      </c>
      <c r="S99" s="68">
        <f t="shared" si="11"/>
        <v>956.8141127603172</v>
      </c>
    </row>
    <row r="100" spans="1:19" ht="15" customHeight="1">
      <c r="A100" s="63" t="s">
        <v>103</v>
      </c>
      <c r="B100" s="74">
        <v>97</v>
      </c>
      <c r="C100" s="64">
        <f t="shared" si="17"/>
        <v>1896740.054354094</v>
      </c>
      <c r="D100" s="64">
        <f>IF(G99=0,0,IF(G99&lt;BondCalculator!$B$12,G99+E100,BondCalculator!$B$12))</f>
        <v>19759.39962294191</v>
      </c>
      <c r="E100" s="64">
        <f>C100*BondCalculator!$B$5/12</f>
        <v>11459.47116172265</v>
      </c>
      <c r="F100" s="64">
        <f t="shared" si="12"/>
        <v>8299.92846121926</v>
      </c>
      <c r="G100" s="64">
        <f t="shared" si="13"/>
        <v>1888440.1258928748</v>
      </c>
      <c r="H100" s="76">
        <f t="shared" si="14"/>
        <v>0.7553760503571499</v>
      </c>
      <c r="J100" s="66">
        <f t="shared" si="15"/>
        <v>1637565.0780158169</v>
      </c>
      <c r="K100" s="66">
        <f>IF(N99=0,0,IF(N99&lt;BondCalculator!$B$12+BondCalculator!$B$7,N99+L100,BondCalculator!$B$12+BondCalculator!$B$7))</f>
        <v>21759.39962294191</v>
      </c>
      <c r="L100" s="66">
        <f>J100*BondCalculator!$B$5/12</f>
        <v>9893.622346345559</v>
      </c>
      <c r="M100" s="66">
        <f t="shared" si="16"/>
        <v>11865.777276596351</v>
      </c>
      <c r="N100" s="66">
        <f t="shared" si="9"/>
        <v>1625699.3007392206</v>
      </c>
      <c r="P100" s="66">
        <f t="shared" si="10"/>
        <v>1565.8488153770904</v>
      </c>
      <c r="Q100" s="67">
        <f>-PV(BondCalculator!$B$9/12,B100,0,1,0)</f>
        <v>0.616441700232746</v>
      </c>
      <c r="S100" s="68">
        <f t="shared" si="11"/>
        <v>965.2545060584848</v>
      </c>
    </row>
    <row r="101" spans="1:19" ht="15" customHeight="1">
      <c r="A101" s="63" t="s">
        <v>103</v>
      </c>
      <c r="B101" s="74">
        <v>98</v>
      </c>
      <c r="C101" s="64">
        <f t="shared" si="17"/>
        <v>1888440.1258928748</v>
      </c>
      <c r="D101" s="64">
        <f>IF(G100=0,0,IF(G100&lt;BondCalculator!$B$12,G100+E101,BondCalculator!$B$12))</f>
        <v>19759.39962294191</v>
      </c>
      <c r="E101" s="64">
        <f>C101*BondCalculator!$B$5/12</f>
        <v>11409.325760602784</v>
      </c>
      <c r="F101" s="64">
        <f t="shared" si="12"/>
        <v>8350.073862339126</v>
      </c>
      <c r="G101" s="64">
        <f t="shared" si="13"/>
        <v>1880090.0520305356</v>
      </c>
      <c r="H101" s="76">
        <f t="shared" si="14"/>
        <v>0.7520360208122142</v>
      </c>
      <c r="J101" s="66">
        <f t="shared" si="15"/>
        <v>1625699.3007392206</v>
      </c>
      <c r="K101" s="66">
        <f>IF(N100=0,0,IF(N100&lt;BondCalculator!$B$12+BondCalculator!$B$7,N100+L101,BondCalculator!$B$12+BondCalculator!$B$7))</f>
        <v>21759.39962294191</v>
      </c>
      <c r="L101" s="66">
        <f>J101*BondCalculator!$B$5/12</f>
        <v>9821.933275299458</v>
      </c>
      <c r="M101" s="66">
        <f t="shared" si="16"/>
        <v>11937.466347642452</v>
      </c>
      <c r="N101" s="66">
        <f t="shared" si="9"/>
        <v>1613761.834391578</v>
      </c>
      <c r="P101" s="66">
        <f t="shared" si="10"/>
        <v>1587.3924853033259</v>
      </c>
      <c r="Q101" s="67">
        <f>-PV(BondCalculator!$B$9/12,B101,0,1,0)</f>
        <v>0.6133748261022349</v>
      </c>
      <c r="S101" s="68">
        <f t="shared" si="11"/>
        <v>973.666589628922</v>
      </c>
    </row>
    <row r="102" spans="1:19" ht="15" customHeight="1">
      <c r="A102" s="63" t="s">
        <v>103</v>
      </c>
      <c r="B102" s="74">
        <v>99</v>
      </c>
      <c r="C102" s="64">
        <f t="shared" si="17"/>
        <v>1880090.0520305356</v>
      </c>
      <c r="D102" s="64">
        <f>IF(G101=0,0,IF(G101&lt;BondCalculator!$B$12,G101+E102,BondCalculator!$B$12))</f>
        <v>19759.39962294191</v>
      </c>
      <c r="E102" s="64">
        <f>C102*BondCalculator!$B$5/12</f>
        <v>11358.877397684484</v>
      </c>
      <c r="F102" s="64">
        <f t="shared" si="12"/>
        <v>8400.522225257426</v>
      </c>
      <c r="G102" s="64">
        <f t="shared" si="13"/>
        <v>1871689.5298052782</v>
      </c>
      <c r="H102" s="76">
        <f t="shared" si="14"/>
        <v>0.7486758119221113</v>
      </c>
      <c r="J102" s="66">
        <f t="shared" si="15"/>
        <v>1613761.834391578</v>
      </c>
      <c r="K102" s="66">
        <f>IF(N101=0,0,IF(N101&lt;BondCalculator!$B$12+BondCalculator!$B$7,N101+L102,BondCalculator!$B$12+BondCalculator!$B$7))</f>
        <v>21759.39962294191</v>
      </c>
      <c r="L102" s="66">
        <f>J102*BondCalculator!$B$5/12</f>
        <v>9749.811082782451</v>
      </c>
      <c r="M102" s="66">
        <f t="shared" si="16"/>
        <v>12009.588540159459</v>
      </c>
      <c r="N102" s="66">
        <f t="shared" si="9"/>
        <v>1601752.2458514187</v>
      </c>
      <c r="P102" s="66">
        <f t="shared" si="10"/>
        <v>1609.066314902033</v>
      </c>
      <c r="Q102" s="67">
        <f>-PV(BondCalculator!$B$9/12,B102,0,1,0)</f>
        <v>0.6103232100519751</v>
      </c>
      <c r="S102" s="68">
        <f t="shared" si="11"/>
        <v>982.0505184975109</v>
      </c>
    </row>
    <row r="103" spans="1:19" ht="15" customHeight="1">
      <c r="A103" s="63" t="s">
        <v>103</v>
      </c>
      <c r="B103" s="74">
        <v>100</v>
      </c>
      <c r="C103" s="64">
        <f t="shared" si="17"/>
        <v>1871689.5298052782</v>
      </c>
      <c r="D103" s="64">
        <f>IF(G102=0,0,IF(G102&lt;BondCalculator!$B$12,G102+E103,BondCalculator!$B$12))</f>
        <v>19759.39962294191</v>
      </c>
      <c r="E103" s="64">
        <f>C103*BondCalculator!$B$5/12</f>
        <v>11308.124242573555</v>
      </c>
      <c r="F103" s="64">
        <f t="shared" si="12"/>
        <v>8451.275380368355</v>
      </c>
      <c r="G103" s="64">
        <f t="shared" si="13"/>
        <v>1863238.2544249098</v>
      </c>
      <c r="H103" s="76">
        <f t="shared" si="14"/>
        <v>0.745295301769964</v>
      </c>
      <c r="J103" s="66">
        <f t="shared" si="15"/>
        <v>1601752.2458514187</v>
      </c>
      <c r="K103" s="66">
        <f>IF(N102=0,0,IF(N102&lt;BondCalculator!$B$12+BondCalculator!$B$7,N102+L103,BondCalculator!$B$12+BondCalculator!$B$7))</f>
        <v>21759.39962294191</v>
      </c>
      <c r="L103" s="66">
        <f>J103*BondCalculator!$B$5/12</f>
        <v>9677.253152018988</v>
      </c>
      <c r="M103" s="66">
        <f t="shared" si="16"/>
        <v>12082.146470922922</v>
      </c>
      <c r="N103" s="66">
        <f t="shared" si="9"/>
        <v>1589670.0993804957</v>
      </c>
      <c r="P103" s="66">
        <f t="shared" si="10"/>
        <v>1630.8710905545668</v>
      </c>
      <c r="Q103" s="67">
        <f>-PV(BondCalculator!$B$9/12,B103,0,1,0)</f>
        <v>0.6072867761711197</v>
      </c>
      <c r="S103" s="68">
        <f t="shared" si="11"/>
        <v>990.406446933561</v>
      </c>
    </row>
    <row r="104" spans="1:19" ht="15" customHeight="1">
      <c r="A104" s="63" t="s">
        <v>103</v>
      </c>
      <c r="B104" s="74">
        <v>101</v>
      </c>
      <c r="C104" s="64">
        <f t="shared" si="17"/>
        <v>1863238.2544249098</v>
      </c>
      <c r="D104" s="64">
        <f>IF(G103=0,0,IF(G103&lt;BondCalculator!$B$12,G103+E104,BondCalculator!$B$12))</f>
        <v>19759.39962294191</v>
      </c>
      <c r="E104" s="64">
        <f>C104*BondCalculator!$B$5/12</f>
        <v>11257.064453817162</v>
      </c>
      <c r="F104" s="64">
        <f t="shared" si="12"/>
        <v>8502.335169124748</v>
      </c>
      <c r="G104" s="64">
        <f t="shared" si="13"/>
        <v>1854735.9192557852</v>
      </c>
      <c r="H104" s="76">
        <f t="shared" si="14"/>
        <v>0.7418943677023141</v>
      </c>
      <c r="J104" s="66">
        <f t="shared" si="15"/>
        <v>1589670.0993804957</v>
      </c>
      <c r="K104" s="66">
        <f>IF(N103=0,0,IF(N103&lt;BondCalculator!$B$12+BondCalculator!$B$7,N103+L104,BondCalculator!$B$12+BondCalculator!$B$7))</f>
        <v>21759.39962294191</v>
      </c>
      <c r="L104" s="66">
        <f>J104*BondCalculator!$B$5/12</f>
        <v>9604.256850423828</v>
      </c>
      <c r="M104" s="66">
        <f t="shared" si="16"/>
        <v>12155.142772518082</v>
      </c>
      <c r="N104" s="66">
        <f t="shared" si="9"/>
        <v>1577514.9566079776</v>
      </c>
      <c r="P104" s="66">
        <f t="shared" si="10"/>
        <v>1652.807603393334</v>
      </c>
      <c r="Q104" s="67">
        <f>-PV(BondCalculator!$B$9/12,B104,0,1,0)</f>
        <v>0.6042654489264874</v>
      </c>
      <c r="S104" s="68">
        <f t="shared" si="11"/>
        <v>998.7345284535846</v>
      </c>
    </row>
    <row r="105" spans="1:19" ht="15" customHeight="1">
      <c r="A105" s="63" t="s">
        <v>103</v>
      </c>
      <c r="B105" s="74">
        <v>102</v>
      </c>
      <c r="C105" s="64">
        <f t="shared" si="17"/>
        <v>1854735.9192557852</v>
      </c>
      <c r="D105" s="64">
        <f>IF(G104=0,0,IF(G104&lt;BondCalculator!$B$12,G104+E105,BondCalculator!$B$12))</f>
        <v>19759.39962294191</v>
      </c>
      <c r="E105" s="64">
        <f>C105*BondCalculator!$B$5/12</f>
        <v>11205.696178837034</v>
      </c>
      <c r="F105" s="64">
        <f t="shared" si="12"/>
        <v>8553.703444104876</v>
      </c>
      <c r="G105" s="64">
        <f t="shared" si="13"/>
        <v>1846182.2158116803</v>
      </c>
      <c r="H105" s="76">
        <f t="shared" si="14"/>
        <v>0.7384728863246721</v>
      </c>
      <c r="J105" s="66">
        <f t="shared" si="15"/>
        <v>1577514.9566079776</v>
      </c>
      <c r="K105" s="66">
        <f>IF(N104=0,0,IF(N104&lt;BondCalculator!$B$12+BondCalculator!$B$7,N104+L105,BondCalculator!$B$12+BondCalculator!$B$7))</f>
        <v>21759.39962294191</v>
      </c>
      <c r="L105" s="66">
        <f>J105*BondCalculator!$B$5/12</f>
        <v>9530.81952950653</v>
      </c>
      <c r="M105" s="66">
        <f t="shared" si="16"/>
        <v>12228.58009343538</v>
      </c>
      <c r="N105" s="66">
        <f t="shared" si="9"/>
        <v>1565286.3765145421</v>
      </c>
      <c r="P105" s="66">
        <f t="shared" si="10"/>
        <v>1674.876649330503</v>
      </c>
      <c r="Q105" s="67">
        <f>-PV(BondCalculator!$B$9/12,B105,0,1,0)</f>
        <v>0.601259153160684</v>
      </c>
      <c r="S105" s="68">
        <f t="shared" si="11"/>
        <v>1007.0349158250621</v>
      </c>
    </row>
    <row r="106" spans="1:19" ht="15" customHeight="1">
      <c r="A106" s="63" t="s">
        <v>103</v>
      </c>
      <c r="B106" s="74">
        <v>103</v>
      </c>
      <c r="C106" s="64">
        <f t="shared" si="17"/>
        <v>1846182.2158116803</v>
      </c>
      <c r="D106" s="64">
        <f>IF(G105=0,0,IF(G105&lt;BondCalculator!$B$12,G105+E106,BondCalculator!$B$12))</f>
        <v>19759.39962294191</v>
      </c>
      <c r="E106" s="64">
        <f>C106*BondCalculator!$B$5/12</f>
        <v>11154.017553862235</v>
      </c>
      <c r="F106" s="64">
        <f t="shared" si="12"/>
        <v>8605.382069079675</v>
      </c>
      <c r="G106" s="64">
        <f t="shared" si="13"/>
        <v>1837576.8337426006</v>
      </c>
      <c r="H106" s="76">
        <f t="shared" si="14"/>
        <v>0.7350307334970403</v>
      </c>
      <c r="J106" s="66">
        <f t="shared" si="15"/>
        <v>1565286.3765145421</v>
      </c>
      <c r="K106" s="66">
        <f>IF(N105=0,0,IF(N105&lt;BondCalculator!$B$12+BondCalculator!$B$7,N105+L106,BondCalculator!$B$12+BondCalculator!$B$7))</f>
        <v>21759.39962294191</v>
      </c>
      <c r="L106" s="66">
        <f>J106*BondCalculator!$B$5/12</f>
        <v>9456.938524775358</v>
      </c>
      <c r="M106" s="66">
        <f t="shared" si="16"/>
        <v>12302.461098166552</v>
      </c>
      <c r="N106" s="66">
        <f t="shared" si="9"/>
        <v>1552983.9154163755</v>
      </c>
      <c r="P106" s="66">
        <f t="shared" si="10"/>
        <v>1697.0790290868772</v>
      </c>
      <c r="Q106" s="67">
        <f>-PV(BondCalculator!$B$9/12,B106,0,1,0)</f>
        <v>0.5982678140902329</v>
      </c>
      <c r="S106" s="68">
        <f t="shared" si="11"/>
        <v>1015.3077610701807</v>
      </c>
    </row>
    <row r="107" spans="1:19" ht="15" customHeight="1">
      <c r="A107" s="63" t="s">
        <v>103</v>
      </c>
      <c r="B107" s="74">
        <v>104</v>
      </c>
      <c r="C107" s="64">
        <f t="shared" si="17"/>
        <v>1837576.8337426006</v>
      </c>
      <c r="D107" s="64">
        <f>IF(G106=0,0,IF(G106&lt;BondCalculator!$B$12,G106+E107,BondCalculator!$B$12))</f>
        <v>19759.39962294191</v>
      </c>
      <c r="E107" s="64">
        <f>C107*BondCalculator!$B$5/12</f>
        <v>11102.026703861544</v>
      </c>
      <c r="F107" s="64">
        <f t="shared" si="12"/>
        <v>8657.372919080366</v>
      </c>
      <c r="G107" s="64">
        <f t="shared" si="13"/>
        <v>1828919.4608235203</v>
      </c>
      <c r="H107" s="76">
        <f t="shared" si="14"/>
        <v>0.7315677843294082</v>
      </c>
      <c r="J107" s="66">
        <f t="shared" si="15"/>
        <v>1552983.9154163755</v>
      </c>
      <c r="K107" s="66">
        <f>IF(N106=0,0,IF(N106&lt;BondCalculator!$B$12+BondCalculator!$B$7,N106+L107,BondCalculator!$B$12+BondCalculator!$B$7))</f>
        <v>21759.39962294191</v>
      </c>
      <c r="L107" s="66">
        <f>J107*BondCalculator!$B$5/12</f>
        <v>9382.611155640601</v>
      </c>
      <c r="M107" s="66">
        <f t="shared" si="16"/>
        <v>12376.788467301309</v>
      </c>
      <c r="N107" s="66">
        <f t="shared" si="9"/>
        <v>1540607.1269490742</v>
      </c>
      <c r="P107" s="66">
        <f t="shared" si="10"/>
        <v>1719.4155482209426</v>
      </c>
      <c r="Q107" s="67">
        <f>-PV(BondCalculator!$B$9/12,B107,0,1,0)</f>
        <v>0.5952913573037144</v>
      </c>
      <c r="S107" s="68">
        <f t="shared" si="11"/>
        <v>1023.5532154695551</v>
      </c>
    </row>
    <row r="108" spans="1:19" ht="15" customHeight="1">
      <c r="A108" s="63" t="s">
        <v>103</v>
      </c>
      <c r="B108" s="74">
        <v>105</v>
      </c>
      <c r="C108" s="64">
        <f t="shared" si="17"/>
        <v>1828919.4608235203</v>
      </c>
      <c r="D108" s="64">
        <f>IF(G107=0,0,IF(G107&lt;BondCalculator!$B$12,G107+E108,BondCalculator!$B$12))</f>
        <v>19759.39962294191</v>
      </c>
      <c r="E108" s="64">
        <f>C108*BondCalculator!$B$5/12</f>
        <v>11049.721742475434</v>
      </c>
      <c r="F108" s="64">
        <f t="shared" si="12"/>
        <v>8709.677880466475</v>
      </c>
      <c r="G108" s="64">
        <f t="shared" si="13"/>
        <v>1820209.7829430539</v>
      </c>
      <c r="H108" s="76">
        <f t="shared" si="14"/>
        <v>0.7280839131772215</v>
      </c>
      <c r="J108" s="66">
        <f t="shared" si="15"/>
        <v>1540607.1269490742</v>
      </c>
      <c r="K108" s="66">
        <f>IF(N107=0,0,IF(N107&lt;BondCalculator!$B$12+BondCalculator!$B$7,N107+L108,BondCalculator!$B$12+BondCalculator!$B$7))</f>
        <v>21759.39962294191</v>
      </c>
      <c r="L108" s="66">
        <f>J108*BondCalculator!$B$5/12</f>
        <v>9307.834725317323</v>
      </c>
      <c r="M108" s="66">
        <f t="shared" si="16"/>
        <v>12451.564897624587</v>
      </c>
      <c r="N108" s="66">
        <f t="shared" si="9"/>
        <v>1528155.5620514497</v>
      </c>
      <c r="P108" s="66">
        <f t="shared" si="10"/>
        <v>1741.8870171581111</v>
      </c>
      <c r="Q108" s="67">
        <f>-PV(BondCalculator!$B$9/12,B108,0,1,0)</f>
        <v>0.592329708759915</v>
      </c>
      <c r="S108" s="68">
        <f t="shared" si="11"/>
        <v>1031.771429565941</v>
      </c>
    </row>
    <row r="109" spans="1:19" ht="15" customHeight="1">
      <c r="A109" s="63" t="s">
        <v>103</v>
      </c>
      <c r="B109" s="74">
        <v>106</v>
      </c>
      <c r="C109" s="64">
        <f t="shared" si="17"/>
        <v>1820209.7829430539</v>
      </c>
      <c r="D109" s="64">
        <f>IF(G108=0,0,IF(G108&lt;BondCalculator!$B$12,G108+E109,BondCalculator!$B$12))</f>
        <v>19759.39962294191</v>
      </c>
      <c r="E109" s="64">
        <f>C109*BondCalculator!$B$5/12</f>
        <v>10997.100771947617</v>
      </c>
      <c r="F109" s="64">
        <f t="shared" si="12"/>
        <v>8762.298850994293</v>
      </c>
      <c r="G109" s="64">
        <f t="shared" si="13"/>
        <v>1811447.4840920595</v>
      </c>
      <c r="H109" s="76">
        <f t="shared" si="14"/>
        <v>0.7245789936368238</v>
      </c>
      <c r="J109" s="66">
        <f t="shared" si="15"/>
        <v>1528155.5620514497</v>
      </c>
      <c r="K109" s="66">
        <f>IF(N108=0,0,IF(N108&lt;BondCalculator!$B$12+BondCalculator!$B$7,N108+L109,BondCalculator!$B$12+BondCalculator!$B$7))</f>
        <v>21759.39962294191</v>
      </c>
      <c r="L109" s="66">
        <f>J109*BondCalculator!$B$5/12</f>
        <v>9232.606520727508</v>
      </c>
      <c r="M109" s="66">
        <f t="shared" si="16"/>
        <v>12526.793102214402</v>
      </c>
      <c r="N109" s="66">
        <f t="shared" si="9"/>
        <v>1515628.7689492353</v>
      </c>
      <c r="P109" s="66">
        <f t="shared" si="10"/>
        <v>1764.4942512201087</v>
      </c>
      <c r="Q109" s="67">
        <f>-PV(BondCalculator!$B$9/12,B109,0,1,0)</f>
        <v>0.5893827947859851</v>
      </c>
      <c r="S109" s="68">
        <f t="shared" si="11"/>
        <v>1039.9625531679117</v>
      </c>
    </row>
    <row r="110" spans="1:19" ht="15" customHeight="1">
      <c r="A110" s="63" t="s">
        <v>103</v>
      </c>
      <c r="B110" s="74">
        <v>107</v>
      </c>
      <c r="C110" s="64">
        <f t="shared" si="17"/>
        <v>1811447.4840920595</v>
      </c>
      <c r="D110" s="64">
        <f>IF(G109=0,0,IF(G109&lt;BondCalculator!$B$12,G109+E110,BondCalculator!$B$12))</f>
        <v>19759.39962294191</v>
      </c>
      <c r="E110" s="64">
        <f>C110*BondCalculator!$B$5/12</f>
        <v>10944.161883056193</v>
      </c>
      <c r="F110" s="64">
        <f t="shared" si="12"/>
        <v>8815.237739885717</v>
      </c>
      <c r="G110" s="64">
        <f t="shared" si="13"/>
        <v>1802632.2463521739</v>
      </c>
      <c r="H110" s="76">
        <f t="shared" si="14"/>
        <v>0.7210528985408695</v>
      </c>
      <c r="J110" s="66">
        <f t="shared" si="15"/>
        <v>1515628.7689492353</v>
      </c>
      <c r="K110" s="66">
        <f>IF(N109=0,0,IF(N109&lt;BondCalculator!$B$12+BondCalculator!$B$7,N109+L110,BondCalculator!$B$12+BondCalculator!$B$7))</f>
        <v>21759.39962294191</v>
      </c>
      <c r="L110" s="66">
        <f>J110*BondCalculator!$B$5/12</f>
        <v>9156.923812401628</v>
      </c>
      <c r="M110" s="66">
        <f t="shared" si="16"/>
        <v>12602.475810540282</v>
      </c>
      <c r="N110" s="66">
        <f t="shared" si="9"/>
        <v>1503026.293138695</v>
      </c>
      <c r="P110" s="66">
        <f t="shared" si="10"/>
        <v>1787.2380706545646</v>
      </c>
      <c r="Q110" s="67">
        <f>-PV(BondCalculator!$B$9/12,B110,0,1,0)</f>
        <v>0.5864505420756071</v>
      </c>
      <c r="S110" s="68">
        <f t="shared" si="11"/>
        <v>1048.1267353535316</v>
      </c>
    </row>
    <row r="111" spans="1:19" ht="15" customHeight="1">
      <c r="A111" s="63" t="s">
        <v>103</v>
      </c>
      <c r="B111" s="74">
        <v>108</v>
      </c>
      <c r="C111" s="64">
        <f t="shared" si="17"/>
        <v>1802632.2463521739</v>
      </c>
      <c r="D111" s="64">
        <f>IF(G110=0,0,IF(G110&lt;BondCalculator!$B$12,G110+E111,BondCalculator!$B$12))</f>
        <v>19759.39962294191</v>
      </c>
      <c r="E111" s="64">
        <f>C111*BondCalculator!$B$5/12</f>
        <v>10890.903155044383</v>
      </c>
      <c r="F111" s="64">
        <f t="shared" si="12"/>
        <v>8868.496467897527</v>
      </c>
      <c r="G111" s="64">
        <f t="shared" si="13"/>
        <v>1793763.7498842764</v>
      </c>
      <c r="H111" s="76">
        <f t="shared" si="14"/>
        <v>0.7175054999537106</v>
      </c>
      <c r="J111" s="66">
        <f t="shared" si="15"/>
        <v>1503026.293138695</v>
      </c>
      <c r="K111" s="66">
        <f>IF(N110=0,0,IF(N110&lt;BondCalculator!$B$12+BondCalculator!$B$7,N110+L111,BondCalculator!$B$12+BondCalculator!$B$7))</f>
        <v>21759.39962294191</v>
      </c>
      <c r="L111" s="66">
        <f>J111*BondCalculator!$B$5/12</f>
        <v>9080.783854379615</v>
      </c>
      <c r="M111" s="66">
        <f t="shared" si="16"/>
        <v>12678.615768562295</v>
      </c>
      <c r="N111" s="66">
        <f t="shared" si="9"/>
        <v>1490347.6773701326</v>
      </c>
      <c r="P111" s="66">
        <f t="shared" si="10"/>
        <v>1810.1193006647682</v>
      </c>
      <c r="Q111" s="67">
        <f>-PV(BondCalculator!$B$9/12,B111,0,1,0)</f>
        <v>0.5835328776871714</v>
      </c>
      <c r="S111" s="68">
        <f t="shared" si="11"/>
        <v>1056.2641244740025</v>
      </c>
    </row>
    <row r="112" spans="1:19" ht="15" customHeight="1">
      <c r="A112" s="63" t="s">
        <v>104</v>
      </c>
      <c r="B112" s="74">
        <v>109</v>
      </c>
      <c r="C112" s="64">
        <f t="shared" si="17"/>
        <v>1793763.7498842764</v>
      </c>
      <c r="D112" s="64">
        <f>IF(G111=0,0,IF(G111&lt;BondCalculator!$B$12,G111+E112,BondCalculator!$B$12))</f>
        <v>19759.39962294191</v>
      </c>
      <c r="E112" s="64">
        <f>C112*BondCalculator!$B$5/12</f>
        <v>10837.322655550835</v>
      </c>
      <c r="F112" s="64">
        <f t="shared" si="12"/>
        <v>8922.076967391075</v>
      </c>
      <c r="G112" s="64">
        <f t="shared" si="13"/>
        <v>1784841.6729168852</v>
      </c>
      <c r="H112" s="76">
        <f t="shared" si="14"/>
        <v>0.7139366691667541</v>
      </c>
      <c r="J112" s="66">
        <f t="shared" si="15"/>
        <v>1490347.6773701326</v>
      </c>
      <c r="K112" s="66">
        <f>IF(N111=0,0,IF(N111&lt;BondCalculator!$B$12+BondCalculator!$B$7,N111+L112,BondCalculator!$B$12+BondCalculator!$B$7))</f>
        <v>21759.39962294191</v>
      </c>
      <c r="L112" s="66">
        <f>J112*BondCalculator!$B$5/12</f>
        <v>9004.183884111217</v>
      </c>
      <c r="M112" s="66">
        <f t="shared" si="16"/>
        <v>12755.215738830693</v>
      </c>
      <c r="N112" s="66">
        <f t="shared" si="9"/>
        <v>1477592.461631302</v>
      </c>
      <c r="P112" s="66">
        <f t="shared" si="10"/>
        <v>1833.1387714396187</v>
      </c>
      <c r="Q112" s="67">
        <f>-PV(BondCalculator!$B$9/12,B112,0,1,0)</f>
        <v>0.5806297290419618</v>
      </c>
      <c r="S112" s="68">
        <f t="shared" si="11"/>
        <v>1064.3748681573004</v>
      </c>
    </row>
    <row r="113" spans="1:19" ht="15" customHeight="1">
      <c r="A113" s="63" t="s">
        <v>104</v>
      </c>
      <c r="B113" s="74">
        <v>110</v>
      </c>
      <c r="C113" s="64">
        <f t="shared" si="17"/>
        <v>1784841.6729168852</v>
      </c>
      <c r="D113" s="64">
        <f>IF(G112=0,0,IF(G112&lt;BondCalculator!$B$12,G112+E113,BondCalculator!$B$12))</f>
        <v>19759.39962294191</v>
      </c>
      <c r="E113" s="64">
        <f>C113*BondCalculator!$B$5/12</f>
        <v>10783.418440539515</v>
      </c>
      <c r="F113" s="64">
        <f t="shared" si="12"/>
        <v>8975.981182402395</v>
      </c>
      <c r="G113" s="64">
        <f t="shared" si="13"/>
        <v>1775865.6917344828</v>
      </c>
      <c r="H113" s="76">
        <f t="shared" si="14"/>
        <v>0.7103462766937931</v>
      </c>
      <c r="J113" s="66">
        <f t="shared" si="15"/>
        <v>1477592.461631302</v>
      </c>
      <c r="K113" s="66">
        <f>IF(N112=0,0,IF(N112&lt;BondCalculator!$B$12+BondCalculator!$B$7,N112+L113,BondCalculator!$B$12+BondCalculator!$B$7))</f>
        <v>21759.39962294191</v>
      </c>
      <c r="L113" s="66">
        <f>J113*BondCalculator!$B$5/12</f>
        <v>8927.121122355782</v>
      </c>
      <c r="M113" s="66">
        <f t="shared" si="16"/>
        <v>12832.278500586128</v>
      </c>
      <c r="N113" s="66">
        <f t="shared" si="9"/>
        <v>1464760.183130716</v>
      </c>
      <c r="P113" s="66">
        <f t="shared" si="10"/>
        <v>1856.2973181837333</v>
      </c>
      <c r="Q113" s="67">
        <f>-PV(BondCalculator!$B$9/12,B113,0,1,0)</f>
        <v>0.57774102392235</v>
      </c>
      <c r="S113" s="68">
        <f t="shared" si="11"/>
        <v>1072.4591133117824</v>
      </c>
    </row>
    <row r="114" spans="1:19" ht="15" customHeight="1">
      <c r="A114" s="63" t="s">
        <v>104</v>
      </c>
      <c r="B114" s="74">
        <v>111</v>
      </c>
      <c r="C114" s="64">
        <f t="shared" si="17"/>
        <v>1775865.6917344828</v>
      </c>
      <c r="D114" s="64">
        <f>IF(G113=0,0,IF(G113&lt;BondCalculator!$B$12,G113+E114,BondCalculator!$B$12))</f>
        <v>19759.39962294191</v>
      </c>
      <c r="E114" s="64">
        <f>C114*BondCalculator!$B$5/12</f>
        <v>10729.188554229166</v>
      </c>
      <c r="F114" s="64">
        <f t="shared" si="12"/>
        <v>9030.211068712744</v>
      </c>
      <c r="G114" s="64">
        <f t="shared" si="13"/>
        <v>1766835.4806657701</v>
      </c>
      <c r="H114" s="76">
        <f t="shared" si="14"/>
        <v>0.7067341922663081</v>
      </c>
      <c r="J114" s="66">
        <f t="shared" si="15"/>
        <v>1464760.183130716</v>
      </c>
      <c r="K114" s="66">
        <f>IF(N113=0,0,IF(N113&lt;BondCalculator!$B$12+BondCalculator!$B$7,N113+L114,BondCalculator!$B$12+BondCalculator!$B$7))</f>
        <v>21759.39962294191</v>
      </c>
      <c r="L114" s="66">
        <f>J114*BondCalculator!$B$5/12</f>
        <v>8849.59277308141</v>
      </c>
      <c r="M114" s="66">
        <f t="shared" si="16"/>
        <v>12909.8068498605</v>
      </c>
      <c r="N114" s="66">
        <f t="shared" si="9"/>
        <v>1451850.3762808554</v>
      </c>
      <c r="P114" s="66">
        <f t="shared" si="10"/>
        <v>1879.5957811477565</v>
      </c>
      <c r="Q114" s="67">
        <f>-PV(BondCalculator!$B$9/12,B114,0,1,0)</f>
        <v>0.5748666904700002</v>
      </c>
      <c r="S114" s="68">
        <f t="shared" si="11"/>
        <v>1080.5170061297856</v>
      </c>
    </row>
    <row r="115" spans="1:19" ht="15" customHeight="1">
      <c r="A115" s="63" t="s">
        <v>104</v>
      </c>
      <c r="B115" s="74">
        <v>112</v>
      </c>
      <c r="C115" s="64">
        <f t="shared" si="17"/>
        <v>1766835.4806657701</v>
      </c>
      <c r="D115" s="64">
        <f>IF(G114=0,0,IF(G114&lt;BondCalculator!$B$12,G114+E115,BondCalculator!$B$12))</f>
        <v>19759.39962294191</v>
      </c>
      <c r="E115" s="64">
        <f>C115*BondCalculator!$B$5/12</f>
        <v>10674.631029022361</v>
      </c>
      <c r="F115" s="64">
        <f t="shared" si="12"/>
        <v>9084.768593919549</v>
      </c>
      <c r="G115" s="64">
        <f t="shared" si="13"/>
        <v>1757750.7120718507</v>
      </c>
      <c r="H115" s="76">
        <f t="shared" si="14"/>
        <v>0.7031002848287403</v>
      </c>
      <c r="J115" s="66">
        <f t="shared" si="15"/>
        <v>1451850.3762808554</v>
      </c>
      <c r="K115" s="66">
        <f>IF(N114=0,0,IF(N114&lt;BondCalculator!$B$12+BondCalculator!$B$7,N114+L115,BondCalculator!$B$12+BondCalculator!$B$7))</f>
        <v>21759.39962294191</v>
      </c>
      <c r="L115" s="66">
        <f>J115*BondCalculator!$B$5/12</f>
        <v>8771.5960233635</v>
      </c>
      <c r="M115" s="66">
        <f t="shared" si="16"/>
        <v>12987.80359957841</v>
      </c>
      <c r="N115" s="66">
        <f t="shared" si="9"/>
        <v>1438862.572681277</v>
      </c>
      <c r="P115" s="66">
        <f t="shared" si="10"/>
        <v>1903.0350056588613</v>
      </c>
      <c r="Q115" s="67">
        <f>-PV(BondCalculator!$B$9/12,B115,0,1,0)</f>
        <v>0.5720066571840798</v>
      </c>
      <c r="S115" s="68">
        <f t="shared" si="11"/>
        <v>1088.5486920912117</v>
      </c>
    </row>
    <row r="116" spans="1:19" ht="15" customHeight="1">
      <c r="A116" s="63" t="s">
        <v>104</v>
      </c>
      <c r="B116" s="74">
        <v>113</v>
      </c>
      <c r="C116" s="64">
        <f t="shared" si="17"/>
        <v>1757750.7120718507</v>
      </c>
      <c r="D116" s="64">
        <f>IF(G115=0,0,IF(G115&lt;BondCalculator!$B$12,G115+E116,BondCalculator!$B$12))</f>
        <v>19759.39962294191</v>
      </c>
      <c r="E116" s="64">
        <f>C116*BondCalculator!$B$5/12</f>
        <v>10619.743885434096</v>
      </c>
      <c r="F116" s="64">
        <f t="shared" si="12"/>
        <v>9139.655737507814</v>
      </c>
      <c r="G116" s="64">
        <f t="shared" si="13"/>
        <v>1748611.0563343428</v>
      </c>
      <c r="H116" s="76">
        <f t="shared" si="14"/>
        <v>0.6994444225337372</v>
      </c>
      <c r="J116" s="66">
        <f t="shared" si="15"/>
        <v>1438862.572681277</v>
      </c>
      <c r="K116" s="66">
        <f>IF(N115=0,0,IF(N115&lt;BondCalculator!$B$12+BondCalculator!$B$7,N115+L116,BondCalculator!$B$12+BondCalculator!$B$7))</f>
        <v>21759.39962294191</v>
      </c>
      <c r="L116" s="66">
        <f>J116*BondCalculator!$B$5/12</f>
        <v>8693.128043282715</v>
      </c>
      <c r="M116" s="66">
        <f t="shared" si="16"/>
        <v>13066.271579659195</v>
      </c>
      <c r="N116" s="66">
        <f t="shared" si="9"/>
        <v>1425796.301101618</v>
      </c>
      <c r="P116" s="66">
        <f t="shared" si="10"/>
        <v>1926.615842151381</v>
      </c>
      <c r="Q116" s="67">
        <f>-PV(BondCalculator!$B$9/12,B116,0,1,0)</f>
        <v>0.5691608529194824</v>
      </c>
      <c r="S116" s="68">
        <f t="shared" si="11"/>
        <v>1096.554315967067</v>
      </c>
    </row>
    <row r="117" spans="1:19" ht="15" customHeight="1">
      <c r="A117" s="63" t="s">
        <v>104</v>
      </c>
      <c r="B117" s="74">
        <v>114</v>
      </c>
      <c r="C117" s="64">
        <f t="shared" si="17"/>
        <v>1748611.0563343428</v>
      </c>
      <c r="D117" s="64">
        <f>IF(G116=0,0,IF(G116&lt;BondCalculator!$B$12,G116+E117,BondCalculator!$B$12))</f>
        <v>19759.39962294191</v>
      </c>
      <c r="E117" s="64">
        <f>C117*BondCalculator!$B$5/12</f>
        <v>10564.525132019988</v>
      </c>
      <c r="F117" s="64">
        <f t="shared" si="12"/>
        <v>9194.874490921922</v>
      </c>
      <c r="G117" s="64">
        <f t="shared" si="13"/>
        <v>1739416.181843421</v>
      </c>
      <c r="H117" s="76">
        <f t="shared" si="14"/>
        <v>0.6957664727373684</v>
      </c>
      <c r="J117" s="66">
        <f t="shared" si="15"/>
        <v>1425796.301101618</v>
      </c>
      <c r="K117" s="66">
        <f>IF(N116=0,0,IF(N116&lt;BondCalculator!$B$12+BondCalculator!$B$7,N116+L117,BondCalculator!$B$12+BondCalculator!$B$7))</f>
        <v>21759.39962294191</v>
      </c>
      <c r="L117" s="66">
        <f>J117*BondCalculator!$B$5/12</f>
        <v>8614.185985822274</v>
      </c>
      <c r="M117" s="66">
        <f t="shared" si="16"/>
        <v>13145.213637119636</v>
      </c>
      <c r="N117" s="66">
        <f t="shared" si="9"/>
        <v>1412651.0874644984</v>
      </c>
      <c r="P117" s="66">
        <f t="shared" si="10"/>
        <v>1950.3391461977135</v>
      </c>
      <c r="Q117" s="67">
        <f>-PV(BondCalculator!$B$9/12,B117,0,1,0)</f>
        <v>0.5663292068850574</v>
      </c>
      <c r="S117" s="68">
        <f t="shared" si="11"/>
        <v>1104.534021823031</v>
      </c>
    </row>
    <row r="118" spans="1:19" ht="15" customHeight="1">
      <c r="A118" s="63" t="s">
        <v>104</v>
      </c>
      <c r="B118" s="74">
        <v>115</v>
      </c>
      <c r="C118" s="64">
        <f t="shared" si="17"/>
        <v>1739416.181843421</v>
      </c>
      <c r="D118" s="64">
        <f>IF(G117=0,0,IF(G117&lt;BondCalculator!$B$12,G117+E118,BondCalculator!$B$12))</f>
        <v>19759.39962294191</v>
      </c>
      <c r="E118" s="64">
        <f>C118*BondCalculator!$B$5/12</f>
        <v>10508.972765304</v>
      </c>
      <c r="F118" s="64">
        <f t="shared" si="12"/>
        <v>9250.426857637909</v>
      </c>
      <c r="G118" s="64">
        <f t="shared" si="13"/>
        <v>1730165.754985783</v>
      </c>
      <c r="H118" s="76">
        <f t="shared" si="14"/>
        <v>0.6920663019943132</v>
      </c>
      <c r="J118" s="66">
        <f t="shared" si="15"/>
        <v>1412651.0874644984</v>
      </c>
      <c r="K118" s="66">
        <f>IF(N117=0,0,IF(N117&lt;BondCalculator!$B$12+BondCalculator!$B$7,N117+L118,BondCalculator!$B$12+BondCalculator!$B$7))</f>
        <v>21759.39962294191</v>
      </c>
      <c r="L118" s="66">
        <f>J118*BondCalculator!$B$5/12</f>
        <v>8534.766986764676</v>
      </c>
      <c r="M118" s="66">
        <f t="shared" si="16"/>
        <v>13224.632636177234</v>
      </c>
      <c r="N118" s="66">
        <f t="shared" si="9"/>
        <v>1399426.4548283212</v>
      </c>
      <c r="P118" s="66">
        <f t="shared" si="10"/>
        <v>1974.2057785393245</v>
      </c>
      <c r="Q118" s="67">
        <f>-PV(BondCalculator!$B$9/12,B118,0,1,0)</f>
        <v>0.5635116486418481</v>
      </c>
      <c r="S118" s="68">
        <f t="shared" si="11"/>
        <v>1112.487953022958</v>
      </c>
    </row>
    <row r="119" spans="1:19" ht="15" customHeight="1">
      <c r="A119" s="63" t="s">
        <v>104</v>
      </c>
      <c r="B119" s="74">
        <v>116</v>
      </c>
      <c r="C119" s="64">
        <f t="shared" si="17"/>
        <v>1730165.754985783</v>
      </c>
      <c r="D119" s="64">
        <f>IF(G118=0,0,IF(G118&lt;BondCalculator!$B$12,G118+E119,BondCalculator!$B$12))</f>
        <v>19759.39962294191</v>
      </c>
      <c r="E119" s="64">
        <f>C119*BondCalculator!$B$5/12</f>
        <v>10453.08476970577</v>
      </c>
      <c r="F119" s="64">
        <f t="shared" si="12"/>
        <v>9306.31485323614</v>
      </c>
      <c r="G119" s="64">
        <f t="shared" si="13"/>
        <v>1720859.440132547</v>
      </c>
      <c r="H119" s="76">
        <f t="shared" si="14"/>
        <v>0.6883437760530188</v>
      </c>
      <c r="J119" s="66">
        <f t="shared" si="15"/>
        <v>1399426.4548283212</v>
      </c>
      <c r="K119" s="66">
        <f>IF(N118=0,0,IF(N118&lt;BondCalculator!$B$12+BondCalculator!$B$7,N118+L119,BondCalculator!$B$12+BondCalculator!$B$7))</f>
        <v>21759.39962294191</v>
      </c>
      <c r="L119" s="66">
        <f>J119*BondCalculator!$B$5/12</f>
        <v>8454.868164587773</v>
      </c>
      <c r="M119" s="66">
        <f t="shared" si="16"/>
        <v>13304.531458354137</v>
      </c>
      <c r="N119" s="66">
        <f t="shared" si="9"/>
        <v>1386121.9233699671</v>
      </c>
      <c r="P119" s="66">
        <f t="shared" si="10"/>
        <v>1998.2166051179975</v>
      </c>
      <c r="Q119" s="67">
        <f>-PV(BondCalculator!$B$9/12,B119,0,1,0)</f>
        <v>0.5607081081013415</v>
      </c>
      <c r="S119" s="68">
        <f t="shared" si="11"/>
        <v>1120.4162522323977</v>
      </c>
    </row>
    <row r="120" spans="1:19" ht="15" customHeight="1">
      <c r="A120" s="63" t="s">
        <v>104</v>
      </c>
      <c r="B120" s="74">
        <v>117</v>
      </c>
      <c r="C120" s="64">
        <f t="shared" si="17"/>
        <v>1720859.440132547</v>
      </c>
      <c r="D120" s="64">
        <f>IF(G119=0,0,IF(G119&lt;BondCalculator!$B$12,G119+E120,BondCalculator!$B$12))</f>
        <v>19759.39962294191</v>
      </c>
      <c r="E120" s="64">
        <f>C120*BondCalculator!$B$5/12</f>
        <v>10396.859117467471</v>
      </c>
      <c r="F120" s="64">
        <f t="shared" si="12"/>
        <v>9362.540505474439</v>
      </c>
      <c r="G120" s="64">
        <f t="shared" si="13"/>
        <v>1711496.8996270725</v>
      </c>
      <c r="H120" s="76">
        <f t="shared" si="14"/>
        <v>0.684598759850829</v>
      </c>
      <c r="J120" s="66">
        <f t="shared" si="15"/>
        <v>1386121.9233699671</v>
      </c>
      <c r="K120" s="66">
        <f>IF(N119=0,0,IF(N119&lt;BondCalculator!$B$12+BondCalculator!$B$7,N119+L120,BondCalculator!$B$12+BondCalculator!$B$7))</f>
        <v>21759.39962294191</v>
      </c>
      <c r="L120" s="66">
        <f>J120*BondCalculator!$B$5/12</f>
        <v>8374.486620360218</v>
      </c>
      <c r="M120" s="66">
        <f t="shared" si="16"/>
        <v>13384.913002581692</v>
      </c>
      <c r="N120" s="66">
        <f t="shared" si="9"/>
        <v>1372737.0103673853</v>
      </c>
      <c r="P120" s="66">
        <f t="shared" si="10"/>
        <v>2022.3724971072534</v>
      </c>
      <c r="Q120" s="67">
        <f>-PV(BondCalculator!$B$9/12,B120,0,1,0)</f>
        <v>0.557918515523723</v>
      </c>
      <c r="S120" s="68">
        <f t="shared" si="11"/>
        <v>1128.3190614220835</v>
      </c>
    </row>
    <row r="121" spans="1:19" ht="15" customHeight="1">
      <c r="A121" s="63" t="s">
        <v>104</v>
      </c>
      <c r="B121" s="74">
        <v>118</v>
      </c>
      <c r="C121" s="64">
        <f t="shared" si="17"/>
        <v>1711496.8996270725</v>
      </c>
      <c r="D121" s="64">
        <f>IF(G120=0,0,IF(G120&lt;BondCalculator!$B$12,G120+E121,BondCalculator!$B$12))</f>
        <v>19759.39962294191</v>
      </c>
      <c r="E121" s="64">
        <f>C121*BondCalculator!$B$5/12</f>
        <v>10340.29376858023</v>
      </c>
      <c r="F121" s="64">
        <f t="shared" si="12"/>
        <v>9419.10585436168</v>
      </c>
      <c r="G121" s="64">
        <f t="shared" si="13"/>
        <v>1702077.7937727107</v>
      </c>
      <c r="H121" s="76">
        <f t="shared" si="14"/>
        <v>0.6808311175090843</v>
      </c>
      <c r="J121" s="66">
        <f t="shared" si="15"/>
        <v>1372737.0103673853</v>
      </c>
      <c r="K121" s="66">
        <f>IF(N120=0,0,IF(N120&lt;BondCalculator!$B$12+BondCalculator!$B$7,N120+L121,BondCalculator!$B$12+BondCalculator!$B$7))</f>
        <v>21759.39962294191</v>
      </c>
      <c r="L121" s="66">
        <f>J121*BondCalculator!$B$5/12</f>
        <v>8293.619437636286</v>
      </c>
      <c r="M121" s="66">
        <f t="shared" si="16"/>
        <v>13465.780185305624</v>
      </c>
      <c r="N121" s="66">
        <f t="shared" si="9"/>
        <v>1359271.2301820798</v>
      </c>
      <c r="P121" s="66">
        <f t="shared" si="10"/>
        <v>2046.6743309439444</v>
      </c>
      <c r="Q121" s="67">
        <f>-PV(BondCalculator!$B$9/12,B121,0,1,0)</f>
        <v>0.5551428015161425</v>
      </c>
      <c r="S121" s="68">
        <f t="shared" si="11"/>
        <v>1136.1965218713979</v>
      </c>
    </row>
    <row r="122" spans="1:19" ht="15" customHeight="1">
      <c r="A122" s="63" t="s">
        <v>104</v>
      </c>
      <c r="B122" s="74">
        <v>119</v>
      </c>
      <c r="C122" s="64">
        <f t="shared" si="17"/>
        <v>1702077.7937727107</v>
      </c>
      <c r="D122" s="64">
        <f>IF(G121=0,0,IF(G121&lt;BondCalculator!$B$12,G121+E122,BondCalculator!$B$12))</f>
        <v>19759.39962294191</v>
      </c>
      <c r="E122" s="64">
        <f>C122*BondCalculator!$B$5/12</f>
        <v>10283.386670710126</v>
      </c>
      <c r="F122" s="64">
        <f t="shared" si="12"/>
        <v>9476.012952231784</v>
      </c>
      <c r="G122" s="64">
        <f t="shared" si="13"/>
        <v>1692601.780820479</v>
      </c>
      <c r="H122" s="76">
        <f t="shared" si="14"/>
        <v>0.6770407123281915</v>
      </c>
      <c r="J122" s="66">
        <f t="shared" si="15"/>
        <v>1359271.2301820798</v>
      </c>
      <c r="K122" s="66">
        <f>IF(N121=0,0,IF(N121&lt;BondCalculator!$B$12+BondCalculator!$B$7,N121+L122,BondCalculator!$B$12+BondCalculator!$B$7))</f>
        <v>21759.39962294191</v>
      </c>
      <c r="L122" s="66">
        <f>J122*BondCalculator!$B$5/12</f>
        <v>8212.263682350065</v>
      </c>
      <c r="M122" s="66">
        <f t="shared" si="16"/>
        <v>13547.135940591845</v>
      </c>
      <c r="N122" s="66">
        <f t="shared" si="9"/>
        <v>1345724.094241488</v>
      </c>
      <c r="P122" s="66">
        <f t="shared" si="10"/>
        <v>2071.122988360061</v>
      </c>
      <c r="Q122" s="67">
        <f>-PV(BondCalculator!$B$9/12,B122,0,1,0)</f>
        <v>0.5523808970309875</v>
      </c>
      <c r="S122" s="68">
        <f t="shared" si="11"/>
        <v>1144.0487741718298</v>
      </c>
    </row>
    <row r="123" spans="1:19" ht="15" customHeight="1">
      <c r="A123" s="63" t="s">
        <v>104</v>
      </c>
      <c r="B123" s="74">
        <v>120</v>
      </c>
      <c r="C123" s="64">
        <f t="shared" si="17"/>
        <v>1692601.780820479</v>
      </c>
      <c r="D123" s="64">
        <f>IF(G122=0,0,IF(G122&lt;BondCalculator!$B$12,G122+E123,BondCalculator!$B$12))</f>
        <v>19759.39962294191</v>
      </c>
      <c r="E123" s="64">
        <f>C123*BondCalculator!$B$5/12</f>
        <v>10226.135759123727</v>
      </c>
      <c r="F123" s="64">
        <f t="shared" si="12"/>
        <v>9533.263863818183</v>
      </c>
      <c r="G123" s="64">
        <f t="shared" si="13"/>
        <v>1683068.5169566607</v>
      </c>
      <c r="H123" s="76">
        <f t="shared" si="14"/>
        <v>0.6732274067826642</v>
      </c>
      <c r="J123" s="66">
        <f t="shared" si="15"/>
        <v>1345724.094241488</v>
      </c>
      <c r="K123" s="66">
        <f>IF(N122=0,0,IF(N122&lt;BondCalculator!$B$12+BondCalculator!$B$7,N122+L123,BondCalculator!$B$12+BondCalculator!$B$7))</f>
        <v>21759.39962294191</v>
      </c>
      <c r="L123" s="66">
        <f>J123*BondCalculator!$B$5/12</f>
        <v>8130.41640270899</v>
      </c>
      <c r="M123" s="66">
        <f t="shared" si="16"/>
        <v>13628.98322023292</v>
      </c>
      <c r="N123" s="66">
        <f t="shared" si="9"/>
        <v>1332095.1110212551</v>
      </c>
      <c r="P123" s="66">
        <f t="shared" si="10"/>
        <v>2095.7193564147365</v>
      </c>
      <c r="Q123" s="67">
        <f>-PV(BondCalculator!$B$9/12,B123,0,1,0)</f>
        <v>0.5496327333641666</v>
      </c>
      <c r="S123" s="68">
        <f t="shared" si="11"/>
        <v>1151.8759582304237</v>
      </c>
    </row>
    <row r="124" spans="1:19" ht="15" customHeight="1">
      <c r="A124" s="63" t="s">
        <v>105</v>
      </c>
      <c r="B124" s="74">
        <v>121</v>
      </c>
      <c r="C124" s="64">
        <f t="shared" si="17"/>
        <v>1683068.5169566607</v>
      </c>
      <c r="D124" s="64">
        <f>IF(G123=0,0,IF(G123&lt;BondCalculator!$B$12,G123+E124,BondCalculator!$B$12))</f>
        <v>19759.39962294191</v>
      </c>
      <c r="E124" s="64">
        <f>C124*BondCalculator!$B$5/12</f>
        <v>10168.538956613158</v>
      </c>
      <c r="F124" s="64">
        <f t="shared" si="12"/>
        <v>9590.860666328752</v>
      </c>
      <c r="G124" s="64">
        <f t="shared" si="13"/>
        <v>1673477.6562903319</v>
      </c>
      <c r="H124" s="76">
        <f t="shared" si="14"/>
        <v>0.6693910625161328</v>
      </c>
      <c r="J124" s="66">
        <f t="shared" si="15"/>
        <v>1332095.1110212551</v>
      </c>
      <c r="K124" s="66">
        <f>IF(N123=0,0,IF(N123&lt;BondCalculator!$B$12+BondCalculator!$B$7,N123+L124,BondCalculator!$B$12+BondCalculator!$B$7))</f>
        <v>21759.39962294191</v>
      </c>
      <c r="L124" s="66">
        <f>J124*BondCalculator!$B$5/12</f>
        <v>8048.074629086749</v>
      </c>
      <c r="M124" s="66">
        <f t="shared" si="16"/>
        <v>13711.32499385516</v>
      </c>
      <c r="N124" s="66">
        <f t="shared" si="9"/>
        <v>1318383.7860274</v>
      </c>
      <c r="P124" s="66">
        <f t="shared" si="10"/>
        <v>2120.464327526409</v>
      </c>
      <c r="Q124" s="67">
        <f>-PV(BondCalculator!$B$9/12,B124,0,1,0)</f>
        <v>0.5468982421533998</v>
      </c>
      <c r="S124" s="68">
        <f t="shared" si="11"/>
        <v>1159.678213273184</v>
      </c>
    </row>
    <row r="125" spans="1:19" ht="15" customHeight="1">
      <c r="A125" s="63" t="s">
        <v>105</v>
      </c>
      <c r="B125" s="74">
        <v>122</v>
      </c>
      <c r="C125" s="64">
        <f t="shared" si="17"/>
        <v>1673477.6562903319</v>
      </c>
      <c r="D125" s="64">
        <f>IF(G124=0,0,IF(G124&lt;BondCalculator!$B$12,G124+E125,BondCalculator!$B$12))</f>
        <v>19759.39962294191</v>
      </c>
      <c r="E125" s="64">
        <f>C125*BondCalculator!$B$5/12</f>
        <v>10110.594173420754</v>
      </c>
      <c r="F125" s="64">
        <f t="shared" si="12"/>
        <v>9648.805449521156</v>
      </c>
      <c r="G125" s="64">
        <f t="shared" si="13"/>
        <v>1663828.8508408107</v>
      </c>
      <c r="H125" s="76">
        <f t="shared" si="14"/>
        <v>0.6655315403363242</v>
      </c>
      <c r="J125" s="66">
        <f t="shared" si="15"/>
        <v>1318383.7860274</v>
      </c>
      <c r="K125" s="66">
        <f>IF(N124=0,0,IF(N124&lt;BondCalculator!$B$12+BondCalculator!$B$7,N124+L125,BondCalculator!$B$12+BondCalculator!$B$7))</f>
        <v>21759.39962294191</v>
      </c>
      <c r="L125" s="66">
        <f>J125*BondCalculator!$B$5/12</f>
        <v>7965.2353739155415</v>
      </c>
      <c r="M125" s="66">
        <f t="shared" si="16"/>
        <v>13794.16424902637</v>
      </c>
      <c r="N125" s="66">
        <f t="shared" si="9"/>
        <v>1304589.6217783736</v>
      </c>
      <c r="P125" s="66">
        <f t="shared" si="10"/>
        <v>2145.358799505212</v>
      </c>
      <c r="Q125" s="67">
        <f>-PV(BondCalculator!$B$9/12,B125,0,1,0)</f>
        <v>0.5441773553765172</v>
      </c>
      <c r="S125" s="68">
        <f t="shared" si="11"/>
        <v>1167.4556778484862</v>
      </c>
    </row>
    <row r="126" spans="1:19" ht="15" customHeight="1">
      <c r="A126" s="63" t="s">
        <v>105</v>
      </c>
      <c r="B126" s="74">
        <v>123</v>
      </c>
      <c r="C126" s="64">
        <f t="shared" si="17"/>
        <v>1663828.8508408107</v>
      </c>
      <c r="D126" s="64">
        <f>IF(G125=0,0,IF(G125&lt;BondCalculator!$B$12,G125+E126,BondCalculator!$B$12))</f>
        <v>19759.39962294191</v>
      </c>
      <c r="E126" s="64">
        <f>C126*BondCalculator!$B$5/12</f>
        <v>10052.29930716323</v>
      </c>
      <c r="F126" s="64">
        <f t="shared" si="12"/>
        <v>9707.10031577868</v>
      </c>
      <c r="G126" s="64">
        <f t="shared" si="13"/>
        <v>1654121.750525032</v>
      </c>
      <c r="H126" s="76">
        <f t="shared" si="14"/>
        <v>0.6616487002100128</v>
      </c>
      <c r="J126" s="66">
        <f t="shared" si="15"/>
        <v>1304589.6217783736</v>
      </c>
      <c r="K126" s="66">
        <f>IF(N125=0,0,IF(N125&lt;BondCalculator!$B$12+BondCalculator!$B$7,N125+L126,BondCalculator!$B$12+BondCalculator!$B$7))</f>
        <v>21759.39962294191</v>
      </c>
      <c r="L126" s="66">
        <f>J126*BondCalculator!$B$5/12</f>
        <v>7881.895631577673</v>
      </c>
      <c r="M126" s="66">
        <f t="shared" si="16"/>
        <v>13877.503991364236</v>
      </c>
      <c r="N126" s="66">
        <f t="shared" si="9"/>
        <v>1290712.1177870093</v>
      </c>
      <c r="P126" s="66">
        <f t="shared" si="10"/>
        <v>2170.403675585557</v>
      </c>
      <c r="Q126" s="67">
        <f>-PV(BondCalculator!$B$9/12,B126,0,1,0)</f>
        <v>0.5414700053497685</v>
      </c>
      <c r="S126" s="68">
        <f t="shared" si="11"/>
        <v>1175.2084898304688</v>
      </c>
    </row>
    <row r="127" spans="1:19" ht="15" customHeight="1">
      <c r="A127" s="63" t="s">
        <v>105</v>
      </c>
      <c r="B127" s="74">
        <v>124</v>
      </c>
      <c r="C127" s="64">
        <f t="shared" si="17"/>
        <v>1654121.750525032</v>
      </c>
      <c r="D127" s="64">
        <f>IF(G126=0,0,IF(G126&lt;BondCalculator!$B$12,G126+E127,BondCalculator!$B$12))</f>
        <v>19759.39962294191</v>
      </c>
      <c r="E127" s="64">
        <f>C127*BondCalculator!$B$5/12</f>
        <v>9993.652242755401</v>
      </c>
      <c r="F127" s="64">
        <f t="shared" si="12"/>
        <v>9765.747380186509</v>
      </c>
      <c r="G127" s="64">
        <f t="shared" si="13"/>
        <v>1644356.0031448454</v>
      </c>
      <c r="H127" s="76">
        <f t="shared" si="14"/>
        <v>0.6577424012579381</v>
      </c>
      <c r="J127" s="66">
        <f t="shared" si="15"/>
        <v>1290712.1177870093</v>
      </c>
      <c r="K127" s="66">
        <f>IF(N126=0,0,IF(N126&lt;BondCalculator!$B$12+BondCalculator!$B$7,N126+L127,BondCalculator!$B$12+BondCalculator!$B$7))</f>
        <v>21759.39962294191</v>
      </c>
      <c r="L127" s="66">
        <f>J127*BondCalculator!$B$5/12</f>
        <v>7798.052378296514</v>
      </c>
      <c r="M127" s="66">
        <f t="shared" si="16"/>
        <v>13961.347244645396</v>
      </c>
      <c r="N127" s="66">
        <f t="shared" si="9"/>
        <v>1276750.7705423639</v>
      </c>
      <c r="P127" s="66">
        <f t="shared" si="10"/>
        <v>2195.599864458887</v>
      </c>
      <c r="Q127" s="67">
        <f>-PV(BondCalculator!$B$9/12,B127,0,1,0)</f>
        <v>0.5387761247261379</v>
      </c>
      <c r="S127" s="68">
        <f t="shared" si="11"/>
        <v>1182.9367864223927</v>
      </c>
    </row>
    <row r="128" spans="1:19" ht="15" customHeight="1">
      <c r="A128" s="63" t="s">
        <v>105</v>
      </c>
      <c r="B128" s="74">
        <v>125</v>
      </c>
      <c r="C128" s="64">
        <f t="shared" si="17"/>
        <v>1644356.0031448454</v>
      </c>
      <c r="D128" s="64">
        <f>IF(G127=0,0,IF(G127&lt;BondCalculator!$B$12,G127+E128,BondCalculator!$B$12))</f>
        <v>19759.39962294191</v>
      </c>
      <c r="E128" s="64">
        <f>C128*BondCalculator!$B$5/12</f>
        <v>9934.65085233344</v>
      </c>
      <c r="F128" s="64">
        <f t="shared" si="12"/>
        <v>9824.74877060847</v>
      </c>
      <c r="G128" s="64">
        <f t="shared" si="13"/>
        <v>1634531.2543742368</v>
      </c>
      <c r="H128" s="76">
        <f t="shared" si="14"/>
        <v>0.6538125017496947</v>
      </c>
      <c r="J128" s="66">
        <f t="shared" si="15"/>
        <v>1276750.7705423639</v>
      </c>
      <c r="K128" s="66">
        <f>IF(N127=0,0,IF(N127&lt;BondCalculator!$B$12+BondCalculator!$B$7,N127+L128,BondCalculator!$B$12+BondCalculator!$B$7))</f>
        <v>21759.39962294191</v>
      </c>
      <c r="L128" s="66">
        <f>J128*BondCalculator!$B$5/12</f>
        <v>7713.702572026781</v>
      </c>
      <c r="M128" s="66">
        <f t="shared" si="16"/>
        <v>14045.697050915129</v>
      </c>
      <c r="N128" s="66">
        <f t="shared" si="9"/>
        <v>1262705.0734914488</v>
      </c>
      <c r="P128" s="66">
        <f t="shared" si="10"/>
        <v>2220.9482803066585</v>
      </c>
      <c r="Q128" s="67">
        <f>-PV(BondCalculator!$B$9/12,B128,0,1,0)</f>
        <v>0.5360956464936697</v>
      </c>
      <c r="S128" s="68">
        <f t="shared" si="11"/>
        <v>1190.640704160002</v>
      </c>
    </row>
    <row r="129" spans="1:19" ht="15" customHeight="1">
      <c r="A129" s="63" t="s">
        <v>105</v>
      </c>
      <c r="B129" s="74">
        <v>126</v>
      </c>
      <c r="C129" s="64">
        <f t="shared" si="17"/>
        <v>1634531.2543742368</v>
      </c>
      <c r="D129" s="64">
        <f>IF(G128=0,0,IF(G128&lt;BondCalculator!$B$12,G128+E129,BondCalculator!$B$12))</f>
        <v>19759.39962294191</v>
      </c>
      <c r="E129" s="64">
        <f>C129*BondCalculator!$B$5/12</f>
        <v>9875.29299517768</v>
      </c>
      <c r="F129" s="64">
        <f t="shared" si="12"/>
        <v>9884.10662776423</v>
      </c>
      <c r="G129" s="64">
        <f t="shared" si="13"/>
        <v>1624647.1477464726</v>
      </c>
      <c r="H129" s="76">
        <f t="shared" si="14"/>
        <v>0.6498588590985891</v>
      </c>
      <c r="J129" s="66">
        <f t="shared" si="15"/>
        <v>1262705.0734914488</v>
      </c>
      <c r="K129" s="66">
        <f>IF(N128=0,0,IF(N128&lt;BondCalculator!$B$12+BondCalculator!$B$7,N128+L129,BondCalculator!$B$12+BondCalculator!$B$7))</f>
        <v>21759.39962294191</v>
      </c>
      <c r="L129" s="66">
        <f>J129*BondCalculator!$B$5/12</f>
        <v>7628.843152344169</v>
      </c>
      <c r="M129" s="66">
        <f t="shared" si="16"/>
        <v>14130.556470597741</v>
      </c>
      <c r="N129" s="66">
        <f t="shared" si="9"/>
        <v>1248574.5170208511</v>
      </c>
      <c r="P129" s="66">
        <f t="shared" si="10"/>
        <v>2246.449842833512</v>
      </c>
      <c r="Q129" s="67">
        <f>-PV(BondCalculator!$B$9/12,B129,0,1,0)</f>
        <v>0.5334285039738007</v>
      </c>
      <c r="S129" s="68">
        <f t="shared" si="11"/>
        <v>1198.32037891486</v>
      </c>
    </row>
    <row r="130" spans="1:19" ht="15" customHeight="1">
      <c r="A130" s="63" t="s">
        <v>105</v>
      </c>
      <c r="B130" s="74">
        <v>127</v>
      </c>
      <c r="C130" s="64">
        <f t="shared" si="17"/>
        <v>1624647.1477464726</v>
      </c>
      <c r="D130" s="64">
        <f>IF(G129=0,0,IF(G129&lt;BondCalculator!$B$12,G129+E130,BondCalculator!$B$12))</f>
        <v>19759.39962294191</v>
      </c>
      <c r="E130" s="64">
        <f>C130*BondCalculator!$B$5/12</f>
        <v>9815.576517634938</v>
      </c>
      <c r="F130" s="64">
        <f t="shared" si="12"/>
        <v>9943.823105306972</v>
      </c>
      <c r="G130" s="64">
        <f t="shared" si="13"/>
        <v>1614703.3246411656</v>
      </c>
      <c r="H130" s="76">
        <f t="shared" si="14"/>
        <v>0.6458813298564662</v>
      </c>
      <c r="J130" s="66">
        <f t="shared" si="15"/>
        <v>1248574.5170208511</v>
      </c>
      <c r="K130" s="66">
        <f>IF(N129=0,0,IF(N129&lt;BondCalculator!$B$12+BondCalculator!$B$7,N129+L130,BondCalculator!$B$12+BondCalculator!$B$7))</f>
        <v>21759.39962294191</v>
      </c>
      <c r="L130" s="66">
        <f>J130*BondCalculator!$B$5/12</f>
        <v>7543.471040334309</v>
      </c>
      <c r="M130" s="66">
        <f t="shared" si="16"/>
        <v>14215.928582607601</v>
      </c>
      <c r="N130" s="66">
        <f t="shared" si="9"/>
        <v>1234358.5884382436</v>
      </c>
      <c r="P130" s="66">
        <f t="shared" si="10"/>
        <v>2272.105477300629</v>
      </c>
      <c r="Q130" s="67">
        <f>-PV(BondCalculator!$B$9/12,B130,0,1,0)</f>
        <v>0.5307746308197023</v>
      </c>
      <c r="S130" s="68">
        <f t="shared" si="11"/>
        <v>1205.9759458976648</v>
      </c>
    </row>
    <row r="131" spans="1:19" ht="15" customHeight="1">
      <c r="A131" s="63" t="s">
        <v>105</v>
      </c>
      <c r="B131" s="74">
        <v>128</v>
      </c>
      <c r="C131" s="64">
        <f t="shared" si="17"/>
        <v>1614703.3246411656</v>
      </c>
      <c r="D131" s="64">
        <f>IF(G130=0,0,IF(G130&lt;BondCalculator!$B$12,G130+E131,BondCalculator!$B$12))</f>
        <v>19759.39962294191</v>
      </c>
      <c r="E131" s="64">
        <f>C131*BondCalculator!$B$5/12</f>
        <v>9755.499253040374</v>
      </c>
      <c r="F131" s="64">
        <f t="shared" si="12"/>
        <v>10003.900369901536</v>
      </c>
      <c r="G131" s="64">
        <f t="shared" si="13"/>
        <v>1604699.424271264</v>
      </c>
      <c r="H131" s="76">
        <f t="shared" si="14"/>
        <v>0.6418797697085057</v>
      </c>
      <c r="J131" s="66">
        <f t="shared" si="15"/>
        <v>1234358.5884382436</v>
      </c>
      <c r="K131" s="66">
        <f>IF(N130=0,0,IF(N130&lt;BondCalculator!$B$12+BondCalculator!$B$7,N130+L131,BondCalculator!$B$12+BondCalculator!$B$7))</f>
        <v>21759.39962294191</v>
      </c>
      <c r="L131" s="66">
        <f>J131*BondCalculator!$B$5/12</f>
        <v>7457.583138481054</v>
      </c>
      <c r="M131" s="66">
        <f t="shared" si="16"/>
        <v>14301.816484460855</v>
      </c>
      <c r="N131" s="66">
        <f t="shared" si="9"/>
        <v>1220056.7719537828</v>
      </c>
      <c r="P131" s="66">
        <f t="shared" si="10"/>
        <v>2297.91611455932</v>
      </c>
      <c r="Q131" s="67">
        <f>-PV(BondCalculator!$B$9/12,B131,0,1,0)</f>
        <v>0.5281339610146293</v>
      </c>
      <c r="S131" s="68">
        <f t="shared" si="11"/>
        <v>1213.6075396615602</v>
      </c>
    </row>
    <row r="132" spans="1:19" ht="15" customHeight="1">
      <c r="A132" s="63" t="s">
        <v>105</v>
      </c>
      <c r="B132" s="74">
        <v>129</v>
      </c>
      <c r="C132" s="64">
        <f t="shared" si="17"/>
        <v>1604699.424271264</v>
      </c>
      <c r="D132" s="64">
        <f>IF(G131=0,0,IF(G131&lt;BondCalculator!$B$12,G131+E132,BondCalculator!$B$12))</f>
        <v>19759.39962294191</v>
      </c>
      <c r="E132" s="64">
        <f>C132*BondCalculator!$B$5/12</f>
        <v>9695.059021638886</v>
      </c>
      <c r="F132" s="64">
        <f t="shared" si="12"/>
        <v>10064.340601303024</v>
      </c>
      <c r="G132" s="64">
        <f t="shared" si="13"/>
        <v>1594635.0836699612</v>
      </c>
      <c r="H132" s="76">
        <f t="shared" si="14"/>
        <v>0.6378540334679845</v>
      </c>
      <c r="J132" s="66">
        <f t="shared" si="15"/>
        <v>1220056.7719537828</v>
      </c>
      <c r="K132" s="66">
        <f>IF(N131=0,0,IF(N131&lt;BondCalculator!$B$12+BondCalculator!$B$7,N131+L132,BondCalculator!$B$12+BondCalculator!$B$7))</f>
        <v>21759.39962294191</v>
      </c>
      <c r="L132" s="66">
        <f>J132*BondCalculator!$B$5/12</f>
        <v>7371.1763305541035</v>
      </c>
      <c r="M132" s="66">
        <f t="shared" si="16"/>
        <v>14388.223292387807</v>
      </c>
      <c r="N132" s="66">
        <f aca="true" t="shared" si="18" ref="N132:N195">J132-M132</f>
        <v>1205668.548661395</v>
      </c>
      <c r="P132" s="66">
        <f aca="true" t="shared" si="19" ref="P132:P195">E132-L132</f>
        <v>2323.882691084783</v>
      </c>
      <c r="Q132" s="67">
        <f>-PV(BondCalculator!$B$9/12,B132,0,1,0)</f>
        <v>0.525506428870278</v>
      </c>
      <c r="S132" s="68">
        <f aca="true" t="shared" si="20" ref="S132:S195">P132*Q132</f>
        <v>1221.2152941054158</v>
      </c>
    </row>
    <row r="133" spans="1:19" ht="15" customHeight="1">
      <c r="A133" s="63" t="s">
        <v>105</v>
      </c>
      <c r="B133" s="74">
        <v>130</v>
      </c>
      <c r="C133" s="64">
        <f t="shared" si="17"/>
        <v>1594635.0836699612</v>
      </c>
      <c r="D133" s="64">
        <f>IF(G132=0,0,IF(G132&lt;BondCalculator!$B$12,G132+E133,BondCalculator!$B$12))</f>
        <v>19759.39962294191</v>
      </c>
      <c r="E133" s="64">
        <f>C133*BondCalculator!$B$5/12</f>
        <v>9634.253630506015</v>
      </c>
      <c r="F133" s="64">
        <f aca="true" t="shared" si="21" ref="F133:F196">D133-E133</f>
        <v>10125.145992435895</v>
      </c>
      <c r="G133" s="64">
        <f aca="true" t="shared" si="22" ref="G133:G196">IF(ROUND(C133-F133,2)=0,0,C133-F133)</f>
        <v>1584509.9376775252</v>
      </c>
      <c r="H133" s="76">
        <f aca="true" t="shared" si="23" ref="H133:H196">IF($C$4=0,0,G133/$C$4)</f>
        <v>0.63380397507101</v>
      </c>
      <c r="J133" s="66">
        <f aca="true" t="shared" si="24" ref="J133:J196">IF(ROUND(N132,0)&gt;0,N132,0)</f>
        <v>1205668.548661395</v>
      </c>
      <c r="K133" s="66">
        <f>IF(N132=0,0,IF(N132&lt;BondCalculator!$B$12+BondCalculator!$B$7,N132+L133,BondCalculator!$B$12+BondCalculator!$B$7))</f>
        <v>21759.39962294191</v>
      </c>
      <c r="L133" s="66">
        <f>J133*BondCalculator!$B$5/12</f>
        <v>7284.247481495928</v>
      </c>
      <c r="M133" s="66">
        <f aca="true" t="shared" si="25" ref="M133:M196">IF(K133-L133&gt;N132,N132,K133-L133)</f>
        <v>14475.152141445982</v>
      </c>
      <c r="N133" s="66">
        <f t="shared" si="18"/>
        <v>1191193.396519949</v>
      </c>
      <c r="P133" s="66">
        <f t="shared" si="19"/>
        <v>2350.006149010087</v>
      </c>
      <c r="Q133" s="67">
        <f>-PV(BondCalculator!$B$9/12,B133,0,1,0)</f>
        <v>0.5228919690251522</v>
      </c>
      <c r="S133" s="68">
        <f t="shared" si="20"/>
        <v>1228.7993424770998</v>
      </c>
    </row>
    <row r="134" spans="1:19" ht="15" customHeight="1">
      <c r="A134" s="63" t="s">
        <v>105</v>
      </c>
      <c r="B134" s="74">
        <v>131</v>
      </c>
      <c r="C134" s="64">
        <f aca="true" t="shared" si="26" ref="C134:C197">G133</f>
        <v>1584509.9376775252</v>
      </c>
      <c r="D134" s="64">
        <f>IF(G133=0,0,IF(G133&lt;BondCalculator!$B$12,G133+E134,BondCalculator!$B$12))</f>
        <v>19759.39962294191</v>
      </c>
      <c r="E134" s="64">
        <f>C134*BondCalculator!$B$5/12</f>
        <v>9573.08087346838</v>
      </c>
      <c r="F134" s="64">
        <f t="shared" si="21"/>
        <v>10186.31874947353</v>
      </c>
      <c r="G134" s="64">
        <f t="shared" si="22"/>
        <v>1574323.6189280518</v>
      </c>
      <c r="H134" s="76">
        <f t="shared" si="23"/>
        <v>0.6297294475712207</v>
      </c>
      <c r="J134" s="66">
        <f t="shared" si="24"/>
        <v>1191193.396519949</v>
      </c>
      <c r="K134" s="66">
        <f>IF(N133=0,0,IF(N133&lt;BondCalculator!$B$12+BondCalculator!$B$7,N133+L134,BondCalculator!$B$12+BondCalculator!$B$7))</f>
        <v>21759.39962294191</v>
      </c>
      <c r="L134" s="66">
        <f>J134*BondCalculator!$B$5/12</f>
        <v>7196.793437308024</v>
      </c>
      <c r="M134" s="66">
        <f t="shared" si="25"/>
        <v>14562.606185633886</v>
      </c>
      <c r="N134" s="66">
        <f t="shared" si="18"/>
        <v>1176630.790334315</v>
      </c>
      <c r="P134" s="66">
        <f t="shared" si="19"/>
        <v>2376.2874361603554</v>
      </c>
      <c r="Q134" s="67">
        <f>-PV(BondCalculator!$B$9/12,B134,0,1,0)</f>
        <v>0.5202905164429377</v>
      </c>
      <c r="S134" s="68">
        <f t="shared" si="20"/>
        <v>1236.3598173767355</v>
      </c>
    </row>
    <row r="135" spans="1:19" ht="15" customHeight="1">
      <c r="A135" s="63" t="s">
        <v>105</v>
      </c>
      <c r="B135" s="74">
        <v>132</v>
      </c>
      <c r="C135" s="64">
        <f t="shared" si="26"/>
        <v>1574323.6189280518</v>
      </c>
      <c r="D135" s="64">
        <f>IF(G134=0,0,IF(G134&lt;BondCalculator!$B$12,G134+E135,BondCalculator!$B$12))</f>
        <v>19759.39962294191</v>
      </c>
      <c r="E135" s="64">
        <f>C135*BondCalculator!$B$5/12</f>
        <v>9511.538531023645</v>
      </c>
      <c r="F135" s="64">
        <f t="shared" si="21"/>
        <v>10247.861091918265</v>
      </c>
      <c r="G135" s="64">
        <f t="shared" si="22"/>
        <v>1564075.7578361335</v>
      </c>
      <c r="H135" s="76">
        <f t="shared" si="23"/>
        <v>0.6256303031344533</v>
      </c>
      <c r="J135" s="66">
        <f t="shared" si="24"/>
        <v>1176630.790334315</v>
      </c>
      <c r="K135" s="66">
        <f>IF(N134=0,0,IF(N134&lt;BondCalculator!$B$12+BondCalculator!$B$7,N134+L135,BondCalculator!$B$12+BondCalculator!$B$7))</f>
        <v>21759.39962294191</v>
      </c>
      <c r="L135" s="66">
        <f>J135*BondCalculator!$B$5/12</f>
        <v>7108.811024936486</v>
      </c>
      <c r="M135" s="66">
        <f t="shared" si="25"/>
        <v>14650.588598005423</v>
      </c>
      <c r="N135" s="66">
        <f t="shared" si="18"/>
        <v>1161980.2017363096</v>
      </c>
      <c r="P135" s="66">
        <f t="shared" si="19"/>
        <v>2402.727506087159</v>
      </c>
      <c r="Q135" s="67">
        <f>-PV(BondCalculator!$B$9/12,B135,0,1,0)</f>
        <v>0.5177020064108833</v>
      </c>
      <c r="S135" s="68">
        <f t="shared" si="20"/>
        <v>1243.89685075994</v>
      </c>
    </row>
    <row r="136" spans="1:19" ht="15" customHeight="1">
      <c r="A136" s="63" t="s">
        <v>106</v>
      </c>
      <c r="B136" s="74">
        <v>133</v>
      </c>
      <c r="C136" s="64">
        <f t="shared" si="26"/>
        <v>1564075.7578361335</v>
      </c>
      <c r="D136" s="64">
        <f>IF(G135=0,0,IF(G135&lt;BondCalculator!$B$12,G135+E136,BondCalculator!$B$12))</f>
        <v>19759.39962294191</v>
      </c>
      <c r="E136" s="64">
        <f>C136*BondCalculator!$B$5/12</f>
        <v>9449.624370259973</v>
      </c>
      <c r="F136" s="64">
        <f t="shared" si="21"/>
        <v>10309.775252681937</v>
      </c>
      <c r="G136" s="64">
        <f t="shared" si="22"/>
        <v>1553765.9825834516</v>
      </c>
      <c r="H136" s="76">
        <f t="shared" si="23"/>
        <v>0.6215063930333806</v>
      </c>
      <c r="J136" s="66">
        <f t="shared" si="24"/>
        <v>1161980.2017363096</v>
      </c>
      <c r="K136" s="66">
        <f>IF(N135=0,0,IF(N135&lt;BondCalculator!$B$12+BondCalculator!$B$7,N135+L136,BondCalculator!$B$12+BondCalculator!$B$7))</f>
        <v>21759.39962294191</v>
      </c>
      <c r="L136" s="66">
        <f>J136*BondCalculator!$B$5/12</f>
        <v>7020.29705215687</v>
      </c>
      <c r="M136" s="66">
        <f t="shared" si="25"/>
        <v>14739.102570785039</v>
      </c>
      <c r="N136" s="66">
        <f t="shared" si="18"/>
        <v>1147241.0991655246</v>
      </c>
      <c r="P136" s="66">
        <f t="shared" si="19"/>
        <v>2429.3273181031027</v>
      </c>
      <c r="Q136" s="67">
        <f>-PV(BondCalculator!$B$9/12,B136,0,1,0)</f>
        <v>0.5151263745381924</v>
      </c>
      <c r="S136" s="68">
        <f t="shared" si="20"/>
        <v>1251.4105739410413</v>
      </c>
    </row>
    <row r="137" spans="1:19" ht="15" customHeight="1">
      <c r="A137" s="63" t="s">
        <v>106</v>
      </c>
      <c r="B137" s="74">
        <v>134</v>
      </c>
      <c r="C137" s="64">
        <f t="shared" si="26"/>
        <v>1553765.9825834516</v>
      </c>
      <c r="D137" s="64">
        <f>IF(G136=0,0,IF(G136&lt;BondCalculator!$B$12,G136+E137,BondCalculator!$B$12))</f>
        <v>19759.39962294191</v>
      </c>
      <c r="E137" s="64">
        <f>C137*BondCalculator!$B$5/12</f>
        <v>9387.33614477502</v>
      </c>
      <c r="F137" s="64">
        <f t="shared" si="21"/>
        <v>10372.06347816689</v>
      </c>
      <c r="G137" s="64">
        <f t="shared" si="22"/>
        <v>1543393.9191052846</v>
      </c>
      <c r="H137" s="76">
        <f t="shared" si="23"/>
        <v>0.6173575676421138</v>
      </c>
      <c r="J137" s="66">
        <f t="shared" si="24"/>
        <v>1147241.0991655246</v>
      </c>
      <c r="K137" s="66">
        <f>IF(N136=0,0,IF(N136&lt;BondCalculator!$B$12+BondCalculator!$B$7,N136+L137,BondCalculator!$B$12+BondCalculator!$B$7))</f>
        <v>21759.39962294191</v>
      </c>
      <c r="L137" s="66">
        <f>J137*BondCalculator!$B$5/12</f>
        <v>6931.248307458377</v>
      </c>
      <c r="M137" s="66">
        <f t="shared" si="25"/>
        <v>14828.151315483534</v>
      </c>
      <c r="N137" s="66">
        <f t="shared" si="18"/>
        <v>1132412.947850041</v>
      </c>
      <c r="P137" s="66">
        <f t="shared" si="19"/>
        <v>2456.0878373166424</v>
      </c>
      <c r="Q137" s="67">
        <f>-PV(BondCalculator!$B$9/12,B137,0,1,0)</f>
        <v>0.5125635567544204</v>
      </c>
      <c r="S137" s="68">
        <f t="shared" si="20"/>
        <v>1258.9011175962905</v>
      </c>
    </row>
    <row r="138" spans="1:19" ht="15" customHeight="1">
      <c r="A138" s="63" t="s">
        <v>106</v>
      </c>
      <c r="B138" s="74">
        <v>135</v>
      </c>
      <c r="C138" s="64">
        <f t="shared" si="26"/>
        <v>1543393.9191052846</v>
      </c>
      <c r="D138" s="64">
        <f>IF(G137=0,0,IF(G137&lt;BondCalculator!$B$12,G137+E138,BondCalculator!$B$12))</f>
        <v>19759.39962294191</v>
      </c>
      <c r="E138" s="64">
        <f>C138*BondCalculator!$B$5/12</f>
        <v>9324.671594594427</v>
      </c>
      <c r="F138" s="64">
        <f t="shared" si="21"/>
        <v>10434.728028347483</v>
      </c>
      <c r="G138" s="64">
        <f t="shared" si="22"/>
        <v>1532959.1910769371</v>
      </c>
      <c r="H138" s="76">
        <f t="shared" si="23"/>
        <v>0.6131836764307749</v>
      </c>
      <c r="J138" s="66">
        <f t="shared" si="24"/>
        <v>1132412.947850041</v>
      </c>
      <c r="K138" s="66">
        <f>IF(N137=0,0,IF(N137&lt;BondCalculator!$B$12+BondCalculator!$B$7,N137+L138,BondCalculator!$B$12+BondCalculator!$B$7))</f>
        <v>21759.39962294191</v>
      </c>
      <c r="L138" s="66">
        <f>J138*BondCalculator!$B$5/12</f>
        <v>6841.661559927331</v>
      </c>
      <c r="M138" s="66">
        <f t="shared" si="25"/>
        <v>14917.738063014578</v>
      </c>
      <c r="N138" s="66">
        <f t="shared" si="18"/>
        <v>1117495.2097870265</v>
      </c>
      <c r="P138" s="66">
        <f t="shared" si="19"/>
        <v>2483.010034667096</v>
      </c>
      <c r="Q138" s="67">
        <f>-PV(BondCalculator!$B$9/12,B138,0,1,0)</f>
        <v>0.5100134893078812</v>
      </c>
      <c r="S138" s="68">
        <f t="shared" si="20"/>
        <v>1266.3686117670486</v>
      </c>
    </row>
    <row r="139" spans="1:19" ht="15" customHeight="1">
      <c r="A139" s="63" t="s">
        <v>106</v>
      </c>
      <c r="B139" s="74">
        <v>136</v>
      </c>
      <c r="C139" s="64">
        <f t="shared" si="26"/>
        <v>1532959.1910769371</v>
      </c>
      <c r="D139" s="64">
        <f>IF(G138=0,0,IF(G138&lt;BondCalculator!$B$12,G138+E139,BondCalculator!$B$12))</f>
        <v>19759.39962294191</v>
      </c>
      <c r="E139" s="64">
        <f>C139*BondCalculator!$B$5/12</f>
        <v>9261.628446089828</v>
      </c>
      <c r="F139" s="64">
        <f t="shared" si="21"/>
        <v>10497.771176852082</v>
      </c>
      <c r="G139" s="64">
        <f t="shared" si="22"/>
        <v>1522461.419900085</v>
      </c>
      <c r="H139" s="76">
        <f t="shared" si="23"/>
        <v>0.6089845679600341</v>
      </c>
      <c r="J139" s="66">
        <f t="shared" si="24"/>
        <v>1117495.2097870265</v>
      </c>
      <c r="K139" s="66">
        <f>IF(N138=0,0,IF(N138&lt;BondCalculator!$B$12+BondCalculator!$B$7,N138+L139,BondCalculator!$B$12+BondCalculator!$B$7))</f>
        <v>21759.39962294191</v>
      </c>
      <c r="L139" s="66">
        <f>J139*BondCalculator!$B$5/12</f>
        <v>6751.533559129952</v>
      </c>
      <c r="M139" s="66">
        <f t="shared" si="25"/>
        <v>15007.866063811958</v>
      </c>
      <c r="N139" s="66">
        <f t="shared" si="18"/>
        <v>1102487.3437232145</v>
      </c>
      <c r="P139" s="66">
        <f t="shared" si="19"/>
        <v>2510.094886959876</v>
      </c>
      <c r="Q139" s="67">
        <f>-PV(BondCalculator!$B$9/12,B139,0,1,0)</f>
        <v>0.5074761087640608</v>
      </c>
      <c r="S139" s="68">
        <f t="shared" si="20"/>
        <v>1273.8131858629629</v>
      </c>
    </row>
    <row r="140" spans="1:19" ht="15" customHeight="1">
      <c r="A140" s="63" t="s">
        <v>106</v>
      </c>
      <c r="B140" s="74">
        <v>137</v>
      </c>
      <c r="C140" s="64">
        <f t="shared" si="26"/>
        <v>1522461.419900085</v>
      </c>
      <c r="D140" s="64">
        <f>IF(G139=0,0,IF(G139&lt;BondCalculator!$B$12,G139+E140,BondCalculator!$B$12))</f>
        <v>19759.39962294191</v>
      </c>
      <c r="E140" s="64">
        <f>C140*BondCalculator!$B$5/12</f>
        <v>9198.204411896348</v>
      </c>
      <c r="F140" s="64">
        <f t="shared" si="21"/>
        <v>10561.195211045562</v>
      </c>
      <c r="G140" s="64">
        <f t="shared" si="22"/>
        <v>1511900.2246890394</v>
      </c>
      <c r="H140" s="76">
        <f t="shared" si="23"/>
        <v>0.6047600898756158</v>
      </c>
      <c r="J140" s="66">
        <f t="shared" si="24"/>
        <v>1102487.3437232145</v>
      </c>
      <c r="K140" s="66">
        <f>IF(N139=0,0,IF(N139&lt;BondCalculator!$B$12+BondCalculator!$B$7,N139+L140,BondCalculator!$B$12+BondCalculator!$B$7))</f>
        <v>21759.39962294191</v>
      </c>
      <c r="L140" s="66">
        <f>J140*BondCalculator!$B$5/12</f>
        <v>6660.86103499442</v>
      </c>
      <c r="M140" s="66">
        <f t="shared" si="25"/>
        <v>15098.538587947489</v>
      </c>
      <c r="N140" s="66">
        <f t="shared" si="18"/>
        <v>1087388.805135267</v>
      </c>
      <c r="P140" s="66">
        <f t="shared" si="19"/>
        <v>2537.3433769019275</v>
      </c>
      <c r="Q140" s="67">
        <f>-PV(BondCalculator!$B$9/12,B140,0,1,0)</f>
        <v>0.5049513520040406</v>
      </c>
      <c r="S140" s="68">
        <f t="shared" si="20"/>
        <v>1281.2349686651264</v>
      </c>
    </row>
    <row r="141" spans="1:19" ht="15" customHeight="1">
      <c r="A141" s="63" t="s">
        <v>106</v>
      </c>
      <c r="B141" s="74">
        <v>138</v>
      </c>
      <c r="C141" s="64">
        <f t="shared" si="26"/>
        <v>1511900.2246890394</v>
      </c>
      <c r="D141" s="64">
        <f>IF(G140=0,0,IF(G140&lt;BondCalculator!$B$12,G140+E141,BondCalculator!$B$12))</f>
        <v>19759.39962294191</v>
      </c>
      <c r="E141" s="64">
        <f>C141*BondCalculator!$B$5/12</f>
        <v>9134.397190829613</v>
      </c>
      <c r="F141" s="64">
        <f t="shared" si="21"/>
        <v>10625.002432112296</v>
      </c>
      <c r="G141" s="64">
        <f t="shared" si="22"/>
        <v>1501275.222256927</v>
      </c>
      <c r="H141" s="76">
        <f t="shared" si="23"/>
        <v>0.6005100889027708</v>
      </c>
      <c r="J141" s="66">
        <f t="shared" si="24"/>
        <v>1087388.805135267</v>
      </c>
      <c r="K141" s="66">
        <f>IF(N140=0,0,IF(N140&lt;BondCalculator!$B$12+BondCalculator!$B$7,N140+L141,BondCalculator!$B$12+BondCalculator!$B$7))</f>
        <v>21759.39962294191</v>
      </c>
      <c r="L141" s="66">
        <f>J141*BondCalculator!$B$5/12</f>
        <v>6569.640697692238</v>
      </c>
      <c r="M141" s="66">
        <f t="shared" si="25"/>
        <v>15189.758925249673</v>
      </c>
      <c r="N141" s="66">
        <f t="shared" si="18"/>
        <v>1072199.0462100175</v>
      </c>
      <c r="P141" s="66">
        <f t="shared" si="19"/>
        <v>2564.7564931373754</v>
      </c>
      <c r="Q141" s="67">
        <f>-PV(BondCalculator!$B$9/12,B141,0,1,0)</f>
        <v>0.5024391562229261</v>
      </c>
      <c r="S141" s="68">
        <f t="shared" si="20"/>
        <v>1288.634088329214</v>
      </c>
    </row>
    <row r="142" spans="1:19" ht="15" customHeight="1">
      <c r="A142" s="63" t="s">
        <v>106</v>
      </c>
      <c r="B142" s="74">
        <v>139</v>
      </c>
      <c r="C142" s="64">
        <f t="shared" si="26"/>
        <v>1501275.222256927</v>
      </c>
      <c r="D142" s="64">
        <f>IF(G141=0,0,IF(G141&lt;BondCalculator!$B$12,G141+E142,BondCalculator!$B$12))</f>
        <v>19759.39962294191</v>
      </c>
      <c r="E142" s="64">
        <f>C142*BondCalculator!$B$5/12</f>
        <v>9070.204467802267</v>
      </c>
      <c r="F142" s="64">
        <f t="shared" si="21"/>
        <v>10689.195155139643</v>
      </c>
      <c r="G142" s="64">
        <f t="shared" si="22"/>
        <v>1490586.0271017875</v>
      </c>
      <c r="H142" s="76">
        <f t="shared" si="23"/>
        <v>0.596234410840715</v>
      </c>
      <c r="J142" s="66">
        <f t="shared" si="24"/>
        <v>1072199.0462100175</v>
      </c>
      <c r="K142" s="66">
        <f>IF(N141=0,0,IF(N141&lt;BondCalculator!$B$12+BondCalculator!$B$7,N141+L142,BondCalculator!$B$12+BondCalculator!$B$7))</f>
        <v>21759.39962294191</v>
      </c>
      <c r="L142" s="66">
        <f>J142*BondCalculator!$B$5/12</f>
        <v>6477.869237518856</v>
      </c>
      <c r="M142" s="66">
        <f t="shared" si="25"/>
        <v>15281.530385423055</v>
      </c>
      <c r="N142" s="66">
        <f t="shared" si="18"/>
        <v>1056917.5158245945</v>
      </c>
      <c r="P142" s="66">
        <f t="shared" si="19"/>
        <v>2592.335230283411</v>
      </c>
      <c r="Q142" s="67">
        <f>-PV(BondCalculator!$B$9/12,B142,0,1,0)</f>
        <v>0.49993945892828473</v>
      </c>
      <c r="S142" s="68">
        <f t="shared" si="20"/>
        <v>1296.0106723886188</v>
      </c>
    </row>
    <row r="143" spans="1:19" ht="15" customHeight="1">
      <c r="A143" s="63" t="s">
        <v>106</v>
      </c>
      <c r="B143" s="74">
        <v>140</v>
      </c>
      <c r="C143" s="64">
        <f t="shared" si="26"/>
        <v>1490586.0271017875</v>
      </c>
      <c r="D143" s="64">
        <f>IF(G142=0,0,IF(G142&lt;BondCalculator!$B$12,G142+E143,BondCalculator!$B$12))</f>
        <v>19759.39962294191</v>
      </c>
      <c r="E143" s="64">
        <f>C143*BondCalculator!$B$5/12</f>
        <v>9005.623913739966</v>
      </c>
      <c r="F143" s="64">
        <f t="shared" si="21"/>
        <v>10753.775709201944</v>
      </c>
      <c r="G143" s="64">
        <f t="shared" si="22"/>
        <v>1479832.2513925855</v>
      </c>
      <c r="H143" s="76">
        <f t="shared" si="23"/>
        <v>0.5919329005570342</v>
      </c>
      <c r="J143" s="66">
        <f t="shared" si="24"/>
        <v>1056917.5158245945</v>
      </c>
      <c r="K143" s="66">
        <f>IF(N142=0,0,IF(N142&lt;BondCalculator!$B$12+BondCalculator!$B$7,N142+L143,BondCalculator!$B$12+BondCalculator!$B$7))</f>
        <v>21759.39962294191</v>
      </c>
      <c r="L143" s="66">
        <f>J143*BondCalculator!$B$5/12</f>
        <v>6385.543324773592</v>
      </c>
      <c r="M143" s="66">
        <f t="shared" si="25"/>
        <v>15373.856298168317</v>
      </c>
      <c r="N143" s="66">
        <f t="shared" si="18"/>
        <v>1041543.6595264262</v>
      </c>
      <c r="P143" s="66">
        <f t="shared" si="19"/>
        <v>2620.0805889663743</v>
      </c>
      <c r="Q143" s="67">
        <f>-PV(BondCalculator!$B$9/12,B143,0,1,0)</f>
        <v>0.4974521979385919</v>
      </c>
      <c r="S143" s="68">
        <f t="shared" si="20"/>
        <v>1303.3648477575632</v>
      </c>
    </row>
    <row r="144" spans="1:19" ht="15" customHeight="1">
      <c r="A144" s="63" t="s">
        <v>106</v>
      </c>
      <c r="B144" s="74">
        <v>141</v>
      </c>
      <c r="C144" s="64">
        <f t="shared" si="26"/>
        <v>1479832.2513925855</v>
      </c>
      <c r="D144" s="64">
        <f>IF(G143=0,0,IF(G143&lt;BondCalculator!$B$12,G143+E144,BondCalculator!$B$12))</f>
        <v>19759.39962294191</v>
      </c>
      <c r="E144" s="64">
        <f>C144*BondCalculator!$B$5/12</f>
        <v>8940.653185496869</v>
      </c>
      <c r="F144" s="64">
        <f t="shared" si="21"/>
        <v>10818.746437445041</v>
      </c>
      <c r="G144" s="64">
        <f t="shared" si="22"/>
        <v>1469013.5049551404</v>
      </c>
      <c r="H144" s="76">
        <f t="shared" si="23"/>
        <v>0.5876054019820561</v>
      </c>
      <c r="J144" s="66">
        <f t="shared" si="24"/>
        <v>1041543.6595264262</v>
      </c>
      <c r="K144" s="66">
        <f>IF(N143=0,0,IF(N143&lt;BondCalculator!$B$12+BondCalculator!$B$7,N143+L144,BondCalculator!$B$12+BondCalculator!$B$7))</f>
        <v>21759.39962294191</v>
      </c>
      <c r="L144" s="66">
        <f>J144*BondCalculator!$B$5/12</f>
        <v>6292.659609638825</v>
      </c>
      <c r="M144" s="66">
        <f t="shared" si="25"/>
        <v>15466.740013303086</v>
      </c>
      <c r="N144" s="66">
        <f t="shared" si="18"/>
        <v>1026076.9195131231</v>
      </c>
      <c r="P144" s="66">
        <f t="shared" si="19"/>
        <v>2647.993575858044</v>
      </c>
      <c r="Q144" s="67">
        <f>-PV(BondCalculator!$B$9/12,B144,0,1,0)</f>
        <v>0.4949773113816836</v>
      </c>
      <c r="S144" s="68">
        <f t="shared" si="20"/>
        <v>1310.696740734185</v>
      </c>
    </row>
    <row r="145" spans="1:19" ht="15" customHeight="1">
      <c r="A145" s="63" t="s">
        <v>106</v>
      </c>
      <c r="B145" s="74">
        <v>142</v>
      </c>
      <c r="C145" s="64">
        <f t="shared" si="26"/>
        <v>1469013.5049551404</v>
      </c>
      <c r="D145" s="64">
        <f>IF(G144=0,0,IF(G144&lt;BondCalculator!$B$12,G144+E145,BondCalculator!$B$12))</f>
        <v>19759.39962294191</v>
      </c>
      <c r="E145" s="64">
        <f>C145*BondCalculator!$B$5/12</f>
        <v>8875.28992577064</v>
      </c>
      <c r="F145" s="64">
        <f t="shared" si="21"/>
        <v>10884.10969717127</v>
      </c>
      <c r="G145" s="64">
        <f t="shared" si="22"/>
        <v>1458129.3952579692</v>
      </c>
      <c r="H145" s="76">
        <f t="shared" si="23"/>
        <v>0.5832517581031876</v>
      </c>
      <c r="J145" s="66">
        <f t="shared" si="24"/>
        <v>1026076.9195131231</v>
      </c>
      <c r="K145" s="66">
        <f>IF(N144=0,0,IF(N144&lt;BondCalculator!$B$12+BondCalculator!$B$7,N144+L145,BondCalculator!$B$12+BondCalculator!$B$7))</f>
        <v>21759.39962294191</v>
      </c>
      <c r="L145" s="66">
        <f>J145*BondCalculator!$B$5/12</f>
        <v>6199.214722058452</v>
      </c>
      <c r="M145" s="66">
        <f t="shared" si="25"/>
        <v>15560.184900883458</v>
      </c>
      <c r="N145" s="66">
        <f t="shared" si="18"/>
        <v>1010516.7346122396</v>
      </c>
      <c r="P145" s="66">
        <f t="shared" si="19"/>
        <v>2676.0752037121874</v>
      </c>
      <c r="Q145" s="67">
        <f>-PV(BondCalculator!$B$9/12,B145,0,1,0)</f>
        <v>0.4925147376932176</v>
      </c>
      <c r="S145" s="68">
        <f t="shared" si="20"/>
        <v>1318.0064770036317</v>
      </c>
    </row>
    <row r="146" spans="1:19" ht="15" customHeight="1">
      <c r="A146" s="63" t="s">
        <v>106</v>
      </c>
      <c r="B146" s="74">
        <v>143</v>
      </c>
      <c r="C146" s="64">
        <f t="shared" si="26"/>
        <v>1458129.3952579692</v>
      </c>
      <c r="D146" s="64">
        <f>IF(G145=0,0,IF(G145&lt;BondCalculator!$B$12,G145+E146,BondCalculator!$B$12))</f>
        <v>19759.39962294191</v>
      </c>
      <c r="E146" s="64">
        <f>C146*BondCalculator!$B$5/12</f>
        <v>8809.531763016896</v>
      </c>
      <c r="F146" s="64">
        <f t="shared" si="21"/>
        <v>10949.867859925014</v>
      </c>
      <c r="G146" s="64">
        <f t="shared" si="22"/>
        <v>1447179.5273980442</v>
      </c>
      <c r="H146" s="76">
        <f t="shared" si="23"/>
        <v>0.5788718109592177</v>
      </c>
      <c r="J146" s="66">
        <f t="shared" si="24"/>
        <v>1010516.7346122396</v>
      </c>
      <c r="K146" s="66">
        <f>IF(N145=0,0,IF(N145&lt;BondCalculator!$B$12+BondCalculator!$B$7,N145+L146,BondCalculator!$B$12+BondCalculator!$B$7))</f>
        <v>21759.39962294191</v>
      </c>
      <c r="L146" s="66">
        <f>J146*BondCalculator!$B$5/12</f>
        <v>6105.205271615614</v>
      </c>
      <c r="M146" s="66">
        <f t="shared" si="25"/>
        <v>15654.194351326296</v>
      </c>
      <c r="N146" s="66">
        <f t="shared" si="18"/>
        <v>994862.5402609133</v>
      </c>
      <c r="P146" s="66">
        <f t="shared" si="19"/>
        <v>2704.3264914012816</v>
      </c>
      <c r="Q146" s="67">
        <f>-PV(BondCalculator!$B$9/12,B146,0,1,0)</f>
        <v>0.49006441561514197</v>
      </c>
      <c r="S146" s="68">
        <f t="shared" si="20"/>
        <v>1325.2941816411162</v>
      </c>
    </row>
    <row r="147" spans="1:19" ht="15" customHeight="1">
      <c r="A147" s="63" t="s">
        <v>106</v>
      </c>
      <c r="B147" s="74">
        <v>144</v>
      </c>
      <c r="C147" s="64">
        <f t="shared" si="26"/>
        <v>1447179.5273980442</v>
      </c>
      <c r="D147" s="64">
        <f>IF(G146=0,0,IF(G146&lt;BondCalculator!$B$12,G146+E147,BondCalculator!$B$12))</f>
        <v>19759.39962294191</v>
      </c>
      <c r="E147" s="64">
        <f>C147*BondCalculator!$B$5/12</f>
        <v>8743.376311363183</v>
      </c>
      <c r="F147" s="64">
        <f t="shared" si="21"/>
        <v>11016.023311578727</v>
      </c>
      <c r="G147" s="64">
        <f t="shared" si="22"/>
        <v>1436163.5040864656</v>
      </c>
      <c r="H147" s="76">
        <f t="shared" si="23"/>
        <v>0.5744654016345863</v>
      </c>
      <c r="J147" s="66">
        <f t="shared" si="24"/>
        <v>994862.5402609133</v>
      </c>
      <c r="K147" s="66">
        <f>IF(N146=0,0,IF(N146&lt;BondCalculator!$B$12+BondCalculator!$B$7,N146+L147,BondCalculator!$B$12+BondCalculator!$B$7))</f>
        <v>21759.39962294191</v>
      </c>
      <c r="L147" s="66">
        <f>J147*BondCalculator!$B$5/12</f>
        <v>6010.627847409684</v>
      </c>
      <c r="M147" s="66">
        <f t="shared" si="25"/>
        <v>15748.771775532226</v>
      </c>
      <c r="N147" s="66">
        <f t="shared" si="18"/>
        <v>979113.768485381</v>
      </c>
      <c r="P147" s="66">
        <f t="shared" si="19"/>
        <v>2732.7484639534987</v>
      </c>
      <c r="Q147" s="67">
        <f>-PV(BondCalculator!$B$9/12,B147,0,1,0)</f>
        <v>0.4876262841941712</v>
      </c>
      <c r="S147" s="68">
        <f t="shared" si="20"/>
        <v>1332.5599791149737</v>
      </c>
    </row>
    <row r="148" spans="1:19" ht="15" customHeight="1">
      <c r="A148" s="63" t="s">
        <v>107</v>
      </c>
      <c r="B148" s="74">
        <v>145</v>
      </c>
      <c r="C148" s="64">
        <f t="shared" si="26"/>
        <v>1436163.5040864656</v>
      </c>
      <c r="D148" s="64">
        <f>IF(G147=0,0,IF(G147&lt;BondCalculator!$B$12,G147+E148,BondCalculator!$B$12))</f>
        <v>19759.39962294191</v>
      </c>
      <c r="E148" s="64">
        <f>C148*BondCalculator!$B$5/12</f>
        <v>8676.821170522397</v>
      </c>
      <c r="F148" s="64">
        <f t="shared" si="21"/>
        <v>11082.578452419513</v>
      </c>
      <c r="G148" s="64">
        <f t="shared" si="22"/>
        <v>1425080.925634046</v>
      </c>
      <c r="H148" s="76">
        <f t="shared" si="23"/>
        <v>0.5700323702536184</v>
      </c>
      <c r="J148" s="66">
        <f t="shared" si="24"/>
        <v>979113.768485381</v>
      </c>
      <c r="K148" s="66">
        <f>IF(N147=0,0,IF(N147&lt;BondCalculator!$B$12+BondCalculator!$B$7,N147+L148,BondCalculator!$B$12+BondCalculator!$B$7))</f>
        <v>21759.39962294191</v>
      </c>
      <c r="L148" s="66">
        <f>J148*BondCalculator!$B$5/12</f>
        <v>5915.47901793251</v>
      </c>
      <c r="M148" s="66">
        <f t="shared" si="25"/>
        <v>15843.9206050094</v>
      </c>
      <c r="N148" s="66">
        <f t="shared" si="18"/>
        <v>963269.8478803716</v>
      </c>
      <c r="P148" s="66">
        <f t="shared" si="19"/>
        <v>2761.3421525898866</v>
      </c>
      <c r="Q148" s="67">
        <f>-PV(BondCalculator!$B$9/12,B148,0,1,0)</f>
        <v>0.4852002827802698</v>
      </c>
      <c r="S148" s="68">
        <f t="shared" si="20"/>
        <v>1339.8039932896918</v>
      </c>
    </row>
    <row r="149" spans="1:19" ht="15" customHeight="1">
      <c r="A149" s="63" t="s">
        <v>107</v>
      </c>
      <c r="B149" s="74">
        <v>146</v>
      </c>
      <c r="C149" s="64">
        <f t="shared" si="26"/>
        <v>1425080.925634046</v>
      </c>
      <c r="D149" s="64">
        <f>IF(G148=0,0,IF(G148&lt;BondCalculator!$B$12,G148+E149,BondCalculator!$B$12))</f>
        <v>19759.39962294191</v>
      </c>
      <c r="E149" s="64">
        <f>C149*BondCalculator!$B$5/12</f>
        <v>8609.863925705695</v>
      </c>
      <c r="F149" s="64">
        <f t="shared" si="21"/>
        <v>11149.535697236215</v>
      </c>
      <c r="G149" s="64">
        <f t="shared" si="22"/>
        <v>1413931.38993681</v>
      </c>
      <c r="H149" s="76">
        <f t="shared" si="23"/>
        <v>0.565572555974724</v>
      </c>
      <c r="J149" s="66">
        <f t="shared" si="24"/>
        <v>963269.8478803716</v>
      </c>
      <c r="K149" s="66">
        <f>IF(N148=0,0,IF(N148&lt;BondCalculator!$B$12+BondCalculator!$B$7,N148+L149,BondCalculator!$B$12+BondCalculator!$B$7))</f>
        <v>21759.39962294191</v>
      </c>
      <c r="L149" s="66">
        <f>J149*BondCalculator!$B$5/12</f>
        <v>5819.755330943911</v>
      </c>
      <c r="M149" s="66">
        <f t="shared" si="25"/>
        <v>15939.644291998</v>
      </c>
      <c r="N149" s="66">
        <f t="shared" si="18"/>
        <v>947330.2035883736</v>
      </c>
      <c r="P149" s="66">
        <f t="shared" si="19"/>
        <v>2790.108594761784</v>
      </c>
      <c r="Q149" s="67">
        <f>-PV(BondCalculator!$B$9/12,B149,0,1,0)</f>
        <v>0.48278635102514433</v>
      </c>
      <c r="S149" s="68">
        <f t="shared" si="20"/>
        <v>1347.0263474289347</v>
      </c>
    </row>
    <row r="150" spans="1:19" ht="15" customHeight="1">
      <c r="A150" s="63" t="s">
        <v>107</v>
      </c>
      <c r="B150" s="74">
        <v>147</v>
      </c>
      <c r="C150" s="64">
        <f t="shared" si="26"/>
        <v>1413931.38993681</v>
      </c>
      <c r="D150" s="64">
        <f>IF(G149=0,0,IF(G149&lt;BondCalculator!$B$12,G149+E150,BondCalculator!$B$12))</f>
        <v>19759.39962294191</v>
      </c>
      <c r="E150" s="64">
        <f>C150*BondCalculator!$B$5/12</f>
        <v>8542.502147534893</v>
      </c>
      <c r="F150" s="64">
        <f t="shared" si="21"/>
        <v>11216.897475407017</v>
      </c>
      <c r="G150" s="64">
        <f t="shared" si="22"/>
        <v>1402714.492461403</v>
      </c>
      <c r="H150" s="76">
        <f t="shared" si="23"/>
        <v>0.5610857969845612</v>
      </c>
      <c r="J150" s="66">
        <f t="shared" si="24"/>
        <v>947330.2035883736</v>
      </c>
      <c r="K150" s="66">
        <f>IF(N149=0,0,IF(N149&lt;BondCalculator!$B$12+BondCalculator!$B$7,N149+L150,BondCalculator!$B$12+BondCalculator!$B$7))</f>
        <v>21759.39962294191</v>
      </c>
      <c r="L150" s="66">
        <f>J150*BondCalculator!$B$5/12</f>
        <v>5723.453313346424</v>
      </c>
      <c r="M150" s="66">
        <f t="shared" si="25"/>
        <v>16035.946309595485</v>
      </c>
      <c r="N150" s="66">
        <f t="shared" si="18"/>
        <v>931294.2572787781</v>
      </c>
      <c r="P150" s="66">
        <f t="shared" si="19"/>
        <v>2819.0488341884693</v>
      </c>
      <c r="Q150" s="67">
        <f>-PV(BondCalculator!$B$9/12,B150,0,1,0)</f>
        <v>0.4803844288807407</v>
      </c>
      <c r="S150" s="68">
        <f t="shared" si="20"/>
        <v>1354.2271641985456</v>
      </c>
    </row>
    <row r="151" spans="1:19" ht="15" customHeight="1">
      <c r="A151" s="63" t="s">
        <v>107</v>
      </c>
      <c r="B151" s="74">
        <v>148</v>
      </c>
      <c r="C151" s="64">
        <f t="shared" si="26"/>
        <v>1402714.492461403</v>
      </c>
      <c r="D151" s="64">
        <f>IF(G150=0,0,IF(G150&lt;BondCalculator!$B$12,G150+E151,BondCalculator!$B$12))</f>
        <v>19759.39962294191</v>
      </c>
      <c r="E151" s="64">
        <f>C151*BondCalculator!$B$5/12</f>
        <v>8474.733391954309</v>
      </c>
      <c r="F151" s="64">
        <f t="shared" si="21"/>
        <v>11284.666230987601</v>
      </c>
      <c r="G151" s="64">
        <f t="shared" si="22"/>
        <v>1391429.8262304154</v>
      </c>
      <c r="H151" s="76">
        <f t="shared" si="23"/>
        <v>0.5565719304921661</v>
      </c>
      <c r="J151" s="66">
        <f t="shared" si="24"/>
        <v>931294.2572787781</v>
      </c>
      <c r="K151" s="66">
        <f>IF(N150=0,0,IF(N150&lt;BondCalculator!$B$12+BondCalculator!$B$7,N150+L151,BondCalculator!$B$12+BondCalculator!$B$7))</f>
        <v>21759.39962294191</v>
      </c>
      <c r="L151" s="66">
        <f>J151*BondCalculator!$B$5/12</f>
        <v>5626.569471059284</v>
      </c>
      <c r="M151" s="66">
        <f t="shared" si="25"/>
        <v>16132.830151882627</v>
      </c>
      <c r="N151" s="66">
        <f t="shared" si="18"/>
        <v>915161.4271268955</v>
      </c>
      <c r="P151" s="66">
        <f t="shared" si="19"/>
        <v>2848.1639208950246</v>
      </c>
      <c r="Q151" s="67">
        <f>-PV(BondCalculator!$B$9/12,B151,0,1,0)</f>
        <v>0.47799445659775197</v>
      </c>
      <c r="S151" s="68">
        <f t="shared" si="20"/>
        <v>1361.40656566954</v>
      </c>
    </row>
    <row r="152" spans="1:19" ht="15" customHeight="1">
      <c r="A152" s="63" t="s">
        <v>107</v>
      </c>
      <c r="B152" s="74">
        <v>149</v>
      </c>
      <c r="C152" s="64">
        <f t="shared" si="26"/>
        <v>1391429.8262304154</v>
      </c>
      <c r="D152" s="64">
        <f>IF(G151=0,0,IF(G151&lt;BondCalculator!$B$12,G151+E152,BondCalculator!$B$12))</f>
        <v>19759.39962294191</v>
      </c>
      <c r="E152" s="64">
        <f>C152*BondCalculator!$B$5/12</f>
        <v>8406.555200142093</v>
      </c>
      <c r="F152" s="64">
        <f t="shared" si="21"/>
        <v>11352.844422799817</v>
      </c>
      <c r="G152" s="64">
        <f t="shared" si="22"/>
        <v>1380076.9818076156</v>
      </c>
      <c r="H152" s="76">
        <f t="shared" si="23"/>
        <v>0.5520307927230462</v>
      </c>
      <c r="J152" s="66">
        <f t="shared" si="24"/>
        <v>915161.4271268955</v>
      </c>
      <c r="K152" s="66">
        <f>IF(N151=0,0,IF(N151&lt;BondCalculator!$B$12+BondCalculator!$B$7,N151+L152,BondCalculator!$B$12+BondCalculator!$B$7))</f>
        <v>21759.39962294191</v>
      </c>
      <c r="L152" s="66">
        <f>J152*BondCalculator!$B$5/12</f>
        <v>5529.10028889166</v>
      </c>
      <c r="M152" s="66">
        <f t="shared" si="25"/>
        <v>16230.29933405025</v>
      </c>
      <c r="N152" s="66">
        <f t="shared" si="18"/>
        <v>898931.1277928452</v>
      </c>
      <c r="P152" s="66">
        <f t="shared" si="19"/>
        <v>2877.454911250433</v>
      </c>
      <c r="Q152" s="67">
        <f>-PV(BondCalculator!$B$9/12,B152,0,1,0)</f>
        <v>0.4756163747241314</v>
      </c>
      <c r="S152" s="68">
        <f t="shared" si="20"/>
        <v>1368.564673321078</v>
      </c>
    </row>
    <row r="153" spans="1:19" ht="15" customHeight="1">
      <c r="A153" s="63" t="s">
        <v>107</v>
      </c>
      <c r="B153" s="74">
        <v>150</v>
      </c>
      <c r="C153" s="64">
        <f t="shared" si="26"/>
        <v>1380076.9818076156</v>
      </c>
      <c r="D153" s="64">
        <f>IF(G152=0,0,IF(G152&lt;BondCalculator!$B$12,G152+E153,BondCalculator!$B$12))</f>
        <v>19759.39962294191</v>
      </c>
      <c r="E153" s="64">
        <f>C153*BondCalculator!$B$5/12</f>
        <v>8337.965098421011</v>
      </c>
      <c r="F153" s="64">
        <f t="shared" si="21"/>
        <v>11421.434524520899</v>
      </c>
      <c r="G153" s="64">
        <f t="shared" si="22"/>
        <v>1368655.5472830946</v>
      </c>
      <c r="H153" s="76">
        <f t="shared" si="23"/>
        <v>0.5474622189132379</v>
      </c>
      <c r="J153" s="66">
        <f t="shared" si="24"/>
        <v>898931.1277928452</v>
      </c>
      <c r="K153" s="66">
        <f>IF(N152=0,0,IF(N152&lt;BondCalculator!$B$12+BondCalculator!$B$7,N152+L153,BondCalculator!$B$12+BondCalculator!$B$7))</f>
        <v>21759.39962294191</v>
      </c>
      <c r="L153" s="66">
        <f>J153*BondCalculator!$B$5/12</f>
        <v>5431.042230415106</v>
      </c>
      <c r="M153" s="66">
        <f t="shared" si="25"/>
        <v>16328.357392526803</v>
      </c>
      <c r="N153" s="66">
        <f t="shared" si="18"/>
        <v>882602.7704003184</v>
      </c>
      <c r="P153" s="66">
        <f t="shared" si="19"/>
        <v>2906.922868005905</v>
      </c>
      <c r="Q153" s="67">
        <f>-PV(BondCalculator!$B$9/12,B153,0,1,0)</f>
        <v>0.4732501241036134</v>
      </c>
      <c r="S153" s="68">
        <f t="shared" si="20"/>
        <v>1375.7016080434264</v>
      </c>
    </row>
    <row r="154" spans="1:19" ht="15" customHeight="1">
      <c r="A154" s="63" t="s">
        <v>107</v>
      </c>
      <c r="B154" s="74">
        <v>151</v>
      </c>
      <c r="C154" s="64">
        <f t="shared" si="26"/>
        <v>1368655.5472830946</v>
      </c>
      <c r="D154" s="64">
        <f>IF(G153=0,0,IF(G153&lt;BondCalculator!$B$12,G153+E154,BondCalculator!$B$12))</f>
        <v>19759.39962294191</v>
      </c>
      <c r="E154" s="64">
        <f>C154*BondCalculator!$B$5/12</f>
        <v>8268.960598168696</v>
      </c>
      <c r="F154" s="64">
        <f t="shared" si="21"/>
        <v>11490.439024773214</v>
      </c>
      <c r="G154" s="64">
        <f t="shared" si="22"/>
        <v>1357165.1082583214</v>
      </c>
      <c r="H154" s="76">
        <f t="shared" si="23"/>
        <v>0.5428660433033285</v>
      </c>
      <c r="J154" s="66">
        <f t="shared" si="24"/>
        <v>882602.7704003184</v>
      </c>
      <c r="K154" s="66">
        <f>IF(N153=0,0,IF(N153&lt;BondCalculator!$B$12+BondCalculator!$B$7,N153+L154,BondCalculator!$B$12+BondCalculator!$B$7))</f>
        <v>21759.39962294191</v>
      </c>
      <c r="L154" s="66">
        <f>J154*BondCalculator!$B$5/12</f>
        <v>5332.391737835257</v>
      </c>
      <c r="M154" s="66">
        <f t="shared" si="25"/>
        <v>16427.007885106654</v>
      </c>
      <c r="N154" s="66">
        <f t="shared" si="18"/>
        <v>866175.7625152118</v>
      </c>
      <c r="P154" s="66">
        <f t="shared" si="19"/>
        <v>2936.5688603334393</v>
      </c>
      <c r="Q154" s="67">
        <f>-PV(BondCalculator!$B$9/12,B154,0,1,0)</f>
        <v>0.47089564587424226</v>
      </c>
      <c r="S154" s="68">
        <f t="shared" si="20"/>
        <v>1382.8174901409025</v>
      </c>
    </row>
    <row r="155" spans="1:19" ht="15" customHeight="1">
      <c r="A155" s="63" t="s">
        <v>107</v>
      </c>
      <c r="B155" s="74">
        <v>152</v>
      </c>
      <c r="C155" s="64">
        <f t="shared" si="26"/>
        <v>1357165.1082583214</v>
      </c>
      <c r="D155" s="64">
        <f>IF(G154=0,0,IF(G154&lt;BondCalculator!$B$12,G154+E155,BondCalculator!$B$12))</f>
        <v>19759.39962294191</v>
      </c>
      <c r="E155" s="64">
        <f>C155*BondCalculator!$B$5/12</f>
        <v>8199.539195727359</v>
      </c>
      <c r="F155" s="64">
        <f t="shared" si="21"/>
        <v>11559.860427214551</v>
      </c>
      <c r="G155" s="64">
        <f t="shared" si="22"/>
        <v>1345605.247831107</v>
      </c>
      <c r="H155" s="76">
        <f t="shared" si="23"/>
        <v>0.5382420991324428</v>
      </c>
      <c r="J155" s="66">
        <f t="shared" si="24"/>
        <v>866175.7625152118</v>
      </c>
      <c r="K155" s="66">
        <f>IF(N154=0,0,IF(N154&lt;BondCalculator!$B$12+BondCalculator!$B$7,N154+L155,BondCalculator!$B$12+BondCalculator!$B$7))</f>
        <v>21759.39962294191</v>
      </c>
      <c r="L155" s="66">
        <f>J155*BondCalculator!$B$5/12</f>
        <v>5233.145231862738</v>
      </c>
      <c r="M155" s="66">
        <f t="shared" si="25"/>
        <v>16526.254391079172</v>
      </c>
      <c r="N155" s="66">
        <f t="shared" si="18"/>
        <v>849649.5081241326</v>
      </c>
      <c r="P155" s="66">
        <f t="shared" si="19"/>
        <v>2966.3939638646207</v>
      </c>
      <c r="Q155" s="67">
        <f>-PV(BondCalculator!$B$9/12,B155,0,1,0)</f>
        <v>0.46855288146690766</v>
      </c>
      <c r="S155" s="68">
        <f t="shared" si="20"/>
        <v>1389.91243933481</v>
      </c>
    </row>
    <row r="156" spans="1:19" ht="15" customHeight="1">
      <c r="A156" s="63" t="s">
        <v>107</v>
      </c>
      <c r="B156" s="74">
        <v>153</v>
      </c>
      <c r="C156" s="64">
        <f t="shared" si="26"/>
        <v>1345605.247831107</v>
      </c>
      <c r="D156" s="64">
        <f>IF(G155=0,0,IF(G155&lt;BondCalculator!$B$12,G155+E156,BondCalculator!$B$12))</f>
        <v>19759.39962294191</v>
      </c>
      <c r="E156" s="64">
        <f>C156*BondCalculator!$B$5/12</f>
        <v>8129.698372312937</v>
      </c>
      <c r="F156" s="64">
        <f t="shared" si="21"/>
        <v>11629.701250628972</v>
      </c>
      <c r="G156" s="64">
        <f t="shared" si="22"/>
        <v>1333975.5465804779</v>
      </c>
      <c r="H156" s="76">
        <f t="shared" si="23"/>
        <v>0.5335902186321911</v>
      </c>
      <c r="J156" s="66">
        <f t="shared" si="24"/>
        <v>849649.5081241326</v>
      </c>
      <c r="K156" s="66">
        <f>IF(N155=0,0,IF(N155&lt;BondCalculator!$B$12+BondCalculator!$B$7,N155+L156,BondCalculator!$B$12+BondCalculator!$B$7))</f>
        <v>21759.39962294191</v>
      </c>
      <c r="L156" s="66">
        <f>J156*BondCalculator!$B$5/12</f>
        <v>5133.299111583301</v>
      </c>
      <c r="M156" s="66">
        <f t="shared" si="25"/>
        <v>16626.100511358607</v>
      </c>
      <c r="N156" s="66">
        <f t="shared" si="18"/>
        <v>833023.407612774</v>
      </c>
      <c r="P156" s="66">
        <f t="shared" si="19"/>
        <v>2996.399260729636</v>
      </c>
      <c r="Q156" s="67">
        <f>-PV(BondCalculator!$B$9/12,B156,0,1,0)</f>
        <v>0.46622177260388836</v>
      </c>
      <c r="S156" s="68">
        <f t="shared" si="20"/>
        <v>1396.9865747663514</v>
      </c>
    </row>
    <row r="157" spans="1:19" ht="15" customHeight="1">
      <c r="A157" s="63" t="s">
        <v>107</v>
      </c>
      <c r="B157" s="74">
        <v>154</v>
      </c>
      <c r="C157" s="64">
        <f t="shared" si="26"/>
        <v>1333975.5465804779</v>
      </c>
      <c r="D157" s="64">
        <f>IF(G156=0,0,IF(G156&lt;BondCalculator!$B$12,G156+E157,BondCalculator!$B$12))</f>
        <v>19759.39962294191</v>
      </c>
      <c r="E157" s="64">
        <f>C157*BondCalculator!$B$5/12</f>
        <v>8059.43559392372</v>
      </c>
      <c r="F157" s="64">
        <f t="shared" si="21"/>
        <v>11699.964029018189</v>
      </c>
      <c r="G157" s="64">
        <f t="shared" si="22"/>
        <v>1322275.5825514595</v>
      </c>
      <c r="H157" s="76">
        <f t="shared" si="23"/>
        <v>0.5289102330205838</v>
      </c>
      <c r="J157" s="66">
        <f t="shared" si="24"/>
        <v>833023.407612774</v>
      </c>
      <c r="K157" s="66">
        <f>IF(N156=0,0,IF(N156&lt;BondCalculator!$B$12+BondCalculator!$B$7,N156+L157,BondCalculator!$B$12+BondCalculator!$B$7))</f>
        <v>21759.39962294191</v>
      </c>
      <c r="L157" s="66">
        <f>J157*BondCalculator!$B$5/12</f>
        <v>5032.849754327176</v>
      </c>
      <c r="M157" s="66">
        <f t="shared" si="25"/>
        <v>16726.549868614733</v>
      </c>
      <c r="N157" s="66">
        <f t="shared" si="18"/>
        <v>816296.8577441593</v>
      </c>
      <c r="P157" s="66">
        <f t="shared" si="19"/>
        <v>3026.5858395965442</v>
      </c>
      <c r="Q157" s="67">
        <f>-PV(BondCalculator!$B$9/12,B157,0,1,0)</f>
        <v>0.4639022612974014</v>
      </c>
      <c r="S157" s="68">
        <f t="shared" si="20"/>
        <v>1404.0400149995312</v>
      </c>
    </row>
    <row r="158" spans="1:19" ht="15" customHeight="1">
      <c r="A158" s="63" t="s">
        <v>107</v>
      </c>
      <c r="B158" s="74">
        <v>155</v>
      </c>
      <c r="C158" s="64">
        <f t="shared" si="26"/>
        <v>1322275.5825514595</v>
      </c>
      <c r="D158" s="64">
        <f>IF(G157=0,0,IF(G157&lt;BondCalculator!$B$12,G157+E158,BondCalculator!$B$12))</f>
        <v>19759.39962294191</v>
      </c>
      <c r="E158" s="64">
        <f>C158*BondCalculator!$B$5/12</f>
        <v>7988.748311248401</v>
      </c>
      <c r="F158" s="64">
        <f t="shared" si="21"/>
        <v>11770.65131169351</v>
      </c>
      <c r="G158" s="64">
        <f t="shared" si="22"/>
        <v>1310504.931239766</v>
      </c>
      <c r="H158" s="76">
        <f t="shared" si="23"/>
        <v>0.5242019724959064</v>
      </c>
      <c r="J158" s="66">
        <f t="shared" si="24"/>
        <v>816296.8577441593</v>
      </c>
      <c r="K158" s="66">
        <f>IF(N157=0,0,IF(N157&lt;BondCalculator!$B$12+BondCalculator!$B$7,N157+L158,BondCalculator!$B$12+BondCalculator!$B$7))</f>
        <v>21759.39962294191</v>
      </c>
      <c r="L158" s="66">
        <f>J158*BondCalculator!$B$5/12</f>
        <v>4931.793515537629</v>
      </c>
      <c r="M158" s="66">
        <f t="shared" si="25"/>
        <v>16827.60610740428</v>
      </c>
      <c r="N158" s="66">
        <f t="shared" si="18"/>
        <v>799469.251636755</v>
      </c>
      <c r="P158" s="66">
        <f t="shared" si="19"/>
        <v>3056.9547957107716</v>
      </c>
      <c r="Q158" s="67">
        <f>-PV(BondCalculator!$B$9/12,B158,0,1,0)</f>
        <v>0.4615942898481607</v>
      </c>
      <c r="S158" s="68">
        <f t="shared" si="20"/>
        <v>1411.0728780240427</v>
      </c>
    </row>
    <row r="159" spans="1:19" ht="15" customHeight="1">
      <c r="A159" s="63" t="s">
        <v>107</v>
      </c>
      <c r="B159" s="74">
        <v>156</v>
      </c>
      <c r="C159" s="64">
        <f t="shared" si="26"/>
        <v>1310504.931239766</v>
      </c>
      <c r="D159" s="64">
        <f>IF(G158=0,0,IF(G158&lt;BondCalculator!$B$12,G158+E159,BondCalculator!$B$12))</f>
        <v>19759.39962294191</v>
      </c>
      <c r="E159" s="64">
        <f>C159*BondCalculator!$B$5/12</f>
        <v>7917.633959573585</v>
      </c>
      <c r="F159" s="64">
        <f t="shared" si="21"/>
        <v>11841.765663368325</v>
      </c>
      <c r="G159" s="64">
        <f t="shared" si="22"/>
        <v>1298663.1655763977</v>
      </c>
      <c r="H159" s="76">
        <f t="shared" si="23"/>
        <v>0.5194652662305591</v>
      </c>
      <c r="J159" s="66">
        <f t="shared" si="24"/>
        <v>799469.251636755</v>
      </c>
      <c r="K159" s="66">
        <f>IF(N158=0,0,IF(N158&lt;BondCalculator!$B$12+BondCalculator!$B$7,N158+L159,BondCalculator!$B$12+BondCalculator!$B$7))</f>
        <v>21759.39962294191</v>
      </c>
      <c r="L159" s="66">
        <f>J159*BondCalculator!$B$5/12</f>
        <v>4830.126728638727</v>
      </c>
      <c r="M159" s="66">
        <f t="shared" si="25"/>
        <v>16929.272894303183</v>
      </c>
      <c r="N159" s="66">
        <f t="shared" si="18"/>
        <v>782539.9787424518</v>
      </c>
      <c r="P159" s="66">
        <f t="shared" si="19"/>
        <v>3087.507230934858</v>
      </c>
      <c r="Q159" s="67">
        <f>-PV(BondCalculator!$B$9/12,B159,0,1,0)</f>
        <v>0.45929780084394106</v>
      </c>
      <c r="S159" s="68">
        <f t="shared" si="20"/>
        <v>1418.0852812581463</v>
      </c>
    </row>
    <row r="160" spans="1:19" ht="15" customHeight="1">
      <c r="A160" s="63" t="s">
        <v>108</v>
      </c>
      <c r="B160" s="74">
        <v>157</v>
      </c>
      <c r="C160" s="64">
        <f t="shared" si="26"/>
        <v>1298663.1655763977</v>
      </c>
      <c r="D160" s="64">
        <f>IF(G159=0,0,IF(G159&lt;BondCalculator!$B$12,G159+E160,BondCalculator!$B$12))</f>
        <v>19759.39962294191</v>
      </c>
      <c r="E160" s="64">
        <f>C160*BondCalculator!$B$5/12</f>
        <v>7846.089958690735</v>
      </c>
      <c r="F160" s="64">
        <f t="shared" si="21"/>
        <v>11913.309664251174</v>
      </c>
      <c r="G160" s="64">
        <f t="shared" si="22"/>
        <v>1286749.8559121464</v>
      </c>
      <c r="H160" s="76">
        <f t="shared" si="23"/>
        <v>0.5146999423648586</v>
      </c>
      <c r="J160" s="66">
        <f t="shared" si="24"/>
        <v>782539.9787424518</v>
      </c>
      <c r="K160" s="66">
        <f>IF(N159=0,0,IF(N159&lt;BondCalculator!$B$12+BondCalculator!$B$7,N159+L160,BondCalculator!$B$12+BondCalculator!$B$7))</f>
        <v>21759.39962294191</v>
      </c>
      <c r="L160" s="66">
        <f>J160*BondCalculator!$B$5/12</f>
        <v>4727.845704902312</v>
      </c>
      <c r="M160" s="66">
        <f t="shared" si="25"/>
        <v>17031.553918039597</v>
      </c>
      <c r="N160" s="66">
        <f t="shared" si="18"/>
        <v>765508.4248244122</v>
      </c>
      <c r="P160" s="66">
        <f t="shared" si="19"/>
        <v>3118.2442537884235</v>
      </c>
      <c r="Q160" s="67">
        <f>-PV(BondCalculator!$B$9/12,B160,0,1,0)</f>
        <v>0.45701273715815033</v>
      </c>
      <c r="S160" s="68">
        <f t="shared" si="20"/>
        <v>1425.0773415515214</v>
      </c>
    </row>
    <row r="161" spans="1:19" ht="15" customHeight="1">
      <c r="A161" s="63" t="s">
        <v>108</v>
      </c>
      <c r="B161" s="74">
        <v>158</v>
      </c>
      <c r="C161" s="64">
        <f t="shared" si="26"/>
        <v>1286749.8559121464</v>
      </c>
      <c r="D161" s="64">
        <f>IF(G160=0,0,IF(G160&lt;BondCalculator!$B$12,G160+E161,BondCalculator!$B$12))</f>
        <v>19759.39962294191</v>
      </c>
      <c r="E161" s="64">
        <f>C161*BondCalculator!$B$5/12</f>
        <v>7774.113712802551</v>
      </c>
      <c r="F161" s="64">
        <f t="shared" si="21"/>
        <v>11985.285910139359</v>
      </c>
      <c r="G161" s="64">
        <f t="shared" si="22"/>
        <v>1274764.570002007</v>
      </c>
      <c r="H161" s="76">
        <f t="shared" si="23"/>
        <v>0.5099058280008029</v>
      </c>
      <c r="J161" s="66">
        <f t="shared" si="24"/>
        <v>765508.4248244122</v>
      </c>
      <c r="K161" s="66">
        <f>IF(N160=0,0,IF(N160&lt;BondCalculator!$B$12+BondCalculator!$B$7,N160+L161,BondCalculator!$B$12+BondCalculator!$B$7))</f>
        <v>21759.39962294191</v>
      </c>
      <c r="L161" s="66">
        <f>J161*BondCalculator!$B$5/12</f>
        <v>4624.9467333141565</v>
      </c>
      <c r="M161" s="66">
        <f t="shared" si="25"/>
        <v>17134.452889627755</v>
      </c>
      <c r="N161" s="66">
        <f t="shared" si="18"/>
        <v>748373.9719347844</v>
      </c>
      <c r="P161" s="66">
        <f t="shared" si="19"/>
        <v>3149.1669794883946</v>
      </c>
      <c r="Q161" s="67">
        <f>-PV(BondCalculator!$B$9/12,B161,0,1,0)</f>
        <v>0.4547390419484084</v>
      </c>
      <c r="S161" s="68">
        <f t="shared" si="20"/>
        <v>1432.0491751881157</v>
      </c>
    </row>
    <row r="162" spans="1:19" ht="15" customHeight="1">
      <c r="A162" s="63" t="s">
        <v>108</v>
      </c>
      <c r="B162" s="74">
        <v>159</v>
      </c>
      <c r="C162" s="64">
        <f t="shared" si="26"/>
        <v>1274764.570002007</v>
      </c>
      <c r="D162" s="64">
        <f>IF(G161=0,0,IF(G161&lt;BondCalculator!$B$12,G161+E162,BondCalculator!$B$12))</f>
        <v>19759.39962294191</v>
      </c>
      <c r="E162" s="64">
        <f>C162*BondCalculator!$B$5/12</f>
        <v>7701.702610428792</v>
      </c>
      <c r="F162" s="64">
        <f t="shared" si="21"/>
        <v>12057.69701251312</v>
      </c>
      <c r="G162" s="64">
        <f t="shared" si="22"/>
        <v>1262706.872989494</v>
      </c>
      <c r="H162" s="76">
        <f t="shared" si="23"/>
        <v>0.5050827491957975</v>
      </c>
      <c r="J162" s="66">
        <f t="shared" si="24"/>
        <v>748373.9719347844</v>
      </c>
      <c r="K162" s="66">
        <f>IF(N161=0,0,IF(N161&lt;BondCalculator!$B$12+BondCalculator!$B$7,N161+L162,BondCalculator!$B$12+BondCalculator!$B$7))</f>
        <v>21759.39962294191</v>
      </c>
      <c r="L162" s="66">
        <f>J162*BondCalculator!$B$5/12</f>
        <v>4521.4260804393225</v>
      </c>
      <c r="M162" s="66">
        <f t="shared" si="25"/>
        <v>17237.973542502586</v>
      </c>
      <c r="N162" s="66">
        <f t="shared" si="18"/>
        <v>731135.9983922818</v>
      </c>
      <c r="P162" s="66">
        <f t="shared" si="19"/>
        <v>3180.276529989469</v>
      </c>
      <c r="Q162" s="67">
        <f>-PV(BondCalculator!$B$9/12,B162,0,1,0)</f>
        <v>0.4524766586551328</v>
      </c>
      <c r="S162" s="68">
        <f t="shared" si="20"/>
        <v>1439.0008978889753</v>
      </c>
    </row>
    <row r="163" spans="1:19" ht="15" customHeight="1">
      <c r="A163" s="63" t="s">
        <v>108</v>
      </c>
      <c r="B163" s="74">
        <v>160</v>
      </c>
      <c r="C163" s="64">
        <f t="shared" si="26"/>
        <v>1262706.872989494</v>
      </c>
      <c r="D163" s="64">
        <f>IF(G162=0,0,IF(G162&lt;BondCalculator!$B$12,G162+E163,BondCalculator!$B$12))</f>
        <v>19759.39962294191</v>
      </c>
      <c r="E163" s="64">
        <f>C163*BondCalculator!$B$5/12</f>
        <v>7628.854024311525</v>
      </c>
      <c r="F163" s="64">
        <f t="shared" si="21"/>
        <v>12130.545598630386</v>
      </c>
      <c r="G163" s="64">
        <f t="shared" si="22"/>
        <v>1250576.3273908636</v>
      </c>
      <c r="H163" s="76">
        <f t="shared" si="23"/>
        <v>0.5002305309563454</v>
      </c>
      <c r="J163" s="66">
        <f t="shared" si="24"/>
        <v>731135.9983922818</v>
      </c>
      <c r="K163" s="66">
        <f>IF(N162=0,0,IF(N162&lt;BondCalculator!$B$12+BondCalculator!$B$7,N162+L163,BondCalculator!$B$12+BondCalculator!$B$7))</f>
        <v>21759.39962294191</v>
      </c>
      <c r="L163" s="66">
        <f>J163*BondCalculator!$B$5/12</f>
        <v>4417.279990286702</v>
      </c>
      <c r="M163" s="66">
        <f t="shared" si="25"/>
        <v>17342.11963265521</v>
      </c>
      <c r="N163" s="66">
        <f t="shared" si="18"/>
        <v>713793.8787596266</v>
      </c>
      <c r="P163" s="66">
        <f t="shared" si="19"/>
        <v>3211.574034024823</v>
      </c>
      <c r="Q163" s="67">
        <f>-PV(BondCalculator!$B$9/12,B163,0,1,0)</f>
        <v>0.45022553100013224</v>
      </c>
      <c r="S163" s="68">
        <f t="shared" si="20"/>
        <v>1445.9326248150628</v>
      </c>
    </row>
    <row r="164" spans="1:19" ht="15" customHeight="1">
      <c r="A164" s="63" t="s">
        <v>108</v>
      </c>
      <c r="B164" s="74">
        <v>161</v>
      </c>
      <c r="C164" s="64">
        <f t="shared" si="26"/>
        <v>1250576.3273908636</v>
      </c>
      <c r="D164" s="64">
        <f>IF(G163=0,0,IF(G163&lt;BondCalculator!$B$12,G163+E164,BondCalculator!$B$12))</f>
        <v>19759.39962294191</v>
      </c>
      <c r="E164" s="64">
        <f>C164*BondCalculator!$B$5/12</f>
        <v>7555.5653113198</v>
      </c>
      <c r="F164" s="64">
        <f t="shared" si="21"/>
        <v>12203.834311622111</v>
      </c>
      <c r="G164" s="64">
        <f t="shared" si="22"/>
        <v>1238372.4930792414</v>
      </c>
      <c r="H164" s="76">
        <f t="shared" si="23"/>
        <v>0.49534899723169656</v>
      </c>
      <c r="J164" s="66">
        <f t="shared" si="24"/>
        <v>713793.8787596266</v>
      </c>
      <c r="K164" s="66">
        <f>IF(N163=0,0,IF(N163&lt;BondCalculator!$B$12+BondCalculator!$B$7,N163+L164,BondCalculator!$B$12+BondCalculator!$B$7))</f>
        <v>21759.39962294191</v>
      </c>
      <c r="L164" s="66">
        <f>J164*BondCalculator!$B$5/12</f>
        <v>4312.504684172744</v>
      </c>
      <c r="M164" s="66">
        <f t="shared" si="25"/>
        <v>17446.894938769165</v>
      </c>
      <c r="N164" s="66">
        <f t="shared" si="18"/>
        <v>696346.9838208575</v>
      </c>
      <c r="P164" s="66">
        <f t="shared" si="19"/>
        <v>3243.060627147055</v>
      </c>
      <c r="Q164" s="67">
        <f>-PV(BondCalculator!$B$9/12,B164,0,1,0)</f>
        <v>0.4479856029852063</v>
      </c>
      <c r="S164" s="68">
        <f t="shared" si="20"/>
        <v>1452.8444705700547</v>
      </c>
    </row>
    <row r="165" spans="1:19" ht="15" customHeight="1">
      <c r="A165" s="63" t="s">
        <v>108</v>
      </c>
      <c r="B165" s="74">
        <v>162</v>
      </c>
      <c r="C165" s="64">
        <f t="shared" si="26"/>
        <v>1238372.4930792414</v>
      </c>
      <c r="D165" s="64">
        <f>IF(G164=0,0,IF(G164&lt;BondCalculator!$B$12,G164+E165,BondCalculator!$B$12))</f>
        <v>19759.39962294191</v>
      </c>
      <c r="E165" s="64">
        <f>C165*BondCalculator!$B$5/12</f>
        <v>7481.83381235375</v>
      </c>
      <c r="F165" s="64">
        <f t="shared" si="21"/>
        <v>12277.56581058816</v>
      </c>
      <c r="G165" s="64">
        <f t="shared" si="22"/>
        <v>1226094.9272686532</v>
      </c>
      <c r="H165" s="76">
        <f t="shared" si="23"/>
        <v>0.4904379709074613</v>
      </c>
      <c r="J165" s="66">
        <f t="shared" si="24"/>
        <v>696346.9838208575</v>
      </c>
      <c r="K165" s="66">
        <f>IF(N164=0,0,IF(N164&lt;BondCalculator!$B$12+BondCalculator!$B$7,N164+L165,BondCalculator!$B$12+BondCalculator!$B$7))</f>
        <v>21759.39962294191</v>
      </c>
      <c r="L165" s="66">
        <f>J165*BondCalculator!$B$5/12</f>
        <v>4207.096360584347</v>
      </c>
      <c r="M165" s="66">
        <f t="shared" si="25"/>
        <v>17552.303262357564</v>
      </c>
      <c r="N165" s="66">
        <f t="shared" si="18"/>
        <v>678794.6805584999</v>
      </c>
      <c r="P165" s="66">
        <f t="shared" si="19"/>
        <v>3274.7374517694025</v>
      </c>
      <c r="Q165" s="67">
        <f>-PV(BondCalculator!$B$9/12,B165,0,1,0)</f>
        <v>0.4457568188907526</v>
      </c>
      <c r="S165" s="68">
        <f t="shared" si="20"/>
        <v>1459.736549203138</v>
      </c>
    </row>
    <row r="166" spans="1:19" ht="15" customHeight="1">
      <c r="A166" s="63" t="s">
        <v>108</v>
      </c>
      <c r="B166" s="74">
        <v>163</v>
      </c>
      <c r="C166" s="64">
        <f t="shared" si="26"/>
        <v>1226094.9272686532</v>
      </c>
      <c r="D166" s="64">
        <f>IF(G165=0,0,IF(G165&lt;BondCalculator!$B$12,G165+E166,BondCalculator!$B$12))</f>
        <v>19759.39962294191</v>
      </c>
      <c r="E166" s="64">
        <f>C166*BondCalculator!$B$5/12</f>
        <v>7407.656852248113</v>
      </c>
      <c r="F166" s="64">
        <f t="shared" si="21"/>
        <v>12351.742770693796</v>
      </c>
      <c r="G166" s="64">
        <f t="shared" si="22"/>
        <v>1213743.1844979594</v>
      </c>
      <c r="H166" s="76">
        <f t="shared" si="23"/>
        <v>0.4854972737991838</v>
      </c>
      <c r="J166" s="66">
        <f t="shared" si="24"/>
        <v>678794.6805584999</v>
      </c>
      <c r="K166" s="66">
        <f>IF(N165=0,0,IF(N165&lt;BondCalculator!$B$12+BondCalculator!$B$7,N165+L166,BondCalculator!$B$12+BondCalculator!$B$7))</f>
        <v>21759.39962294191</v>
      </c>
      <c r="L166" s="66">
        <f>J166*BondCalculator!$B$5/12</f>
        <v>4101.051195040936</v>
      </c>
      <c r="M166" s="66">
        <f t="shared" si="25"/>
        <v>17658.34842790097</v>
      </c>
      <c r="N166" s="66">
        <f t="shared" si="18"/>
        <v>661136.332130599</v>
      </c>
      <c r="P166" s="66">
        <f t="shared" si="19"/>
        <v>3306.6056572071766</v>
      </c>
      <c r="Q166" s="67">
        <f>-PV(BondCalculator!$B$9/12,B166,0,1,0)</f>
        <v>0.44353912327438066</v>
      </c>
      <c r="S166" s="68">
        <f t="shared" si="20"/>
        <v>1466.6089742117783</v>
      </c>
    </row>
    <row r="167" spans="1:19" ht="15" customHeight="1">
      <c r="A167" s="63" t="s">
        <v>108</v>
      </c>
      <c r="B167" s="74">
        <v>164</v>
      </c>
      <c r="C167" s="64">
        <f t="shared" si="26"/>
        <v>1213743.1844979594</v>
      </c>
      <c r="D167" s="64">
        <f>IF(G166=0,0,IF(G166&lt;BondCalculator!$B$12,G166+E167,BondCalculator!$B$12))</f>
        <v>19759.39962294191</v>
      </c>
      <c r="E167" s="64">
        <f>C167*BondCalculator!$B$5/12</f>
        <v>7333.031739675171</v>
      </c>
      <c r="F167" s="64">
        <f t="shared" si="21"/>
        <v>12426.36788326674</v>
      </c>
      <c r="G167" s="64">
        <f t="shared" si="22"/>
        <v>1201316.8166146928</v>
      </c>
      <c r="H167" s="76">
        <f t="shared" si="23"/>
        <v>0.48052672664587714</v>
      </c>
      <c r="J167" s="66">
        <f t="shared" si="24"/>
        <v>661136.332130599</v>
      </c>
      <c r="K167" s="66">
        <f>IF(N166=0,0,IF(N166&lt;BondCalculator!$B$12+BondCalculator!$B$7,N166+L167,BondCalculator!$B$12+BondCalculator!$B$7))</f>
        <v>21759.39962294191</v>
      </c>
      <c r="L167" s="66">
        <f>J167*BondCalculator!$B$5/12</f>
        <v>3994.365339955702</v>
      </c>
      <c r="M167" s="66">
        <f t="shared" si="25"/>
        <v>17765.03428298621</v>
      </c>
      <c r="N167" s="66">
        <f t="shared" si="18"/>
        <v>643371.2978476128</v>
      </c>
      <c r="P167" s="66">
        <f t="shared" si="19"/>
        <v>3338.6663997194687</v>
      </c>
      <c r="Q167" s="67">
        <f>-PV(BondCalculator!$B$9/12,B167,0,1,0)</f>
        <v>0.44133246096953316</v>
      </c>
      <c r="S167" s="68">
        <f t="shared" si="20"/>
        <v>1473.4618585444841</v>
      </c>
    </row>
    <row r="168" spans="1:19" ht="15" customHeight="1">
      <c r="A168" s="63" t="s">
        <v>108</v>
      </c>
      <c r="B168" s="74">
        <v>165</v>
      </c>
      <c r="C168" s="64">
        <f t="shared" si="26"/>
        <v>1201316.8166146928</v>
      </c>
      <c r="D168" s="64">
        <f>IF(G167=0,0,IF(G167&lt;BondCalculator!$B$12,G167+E168,BondCalculator!$B$12))</f>
        <v>19759.39962294191</v>
      </c>
      <c r="E168" s="64">
        <f>C168*BondCalculator!$B$5/12</f>
        <v>7257.955767047101</v>
      </c>
      <c r="F168" s="64">
        <f t="shared" si="21"/>
        <v>12501.44385589481</v>
      </c>
      <c r="G168" s="64">
        <f t="shared" si="22"/>
        <v>1188815.372758798</v>
      </c>
      <c r="H168" s="76">
        <f t="shared" si="23"/>
        <v>0.4755261491035192</v>
      </c>
      <c r="J168" s="66">
        <f t="shared" si="24"/>
        <v>643371.2978476128</v>
      </c>
      <c r="K168" s="66">
        <f>IF(N167=0,0,IF(N167&lt;BondCalculator!$B$12+BondCalculator!$B$7,N167+L168,BondCalculator!$B$12+BondCalculator!$B$7))</f>
        <v>21759.39962294191</v>
      </c>
      <c r="L168" s="66">
        <f>J168*BondCalculator!$B$5/12</f>
        <v>3887.034924495994</v>
      </c>
      <c r="M168" s="66">
        <f t="shared" si="25"/>
        <v>17872.364698445916</v>
      </c>
      <c r="N168" s="66">
        <f t="shared" si="18"/>
        <v>625498.9331491669</v>
      </c>
      <c r="P168" s="66">
        <f t="shared" si="19"/>
        <v>3370.9208425511074</v>
      </c>
      <c r="Q168" s="67">
        <f>-PV(BondCalculator!$B$9/12,B168,0,1,0)</f>
        <v>0.4391367770841127</v>
      </c>
      <c r="S168" s="68">
        <f t="shared" si="20"/>
        <v>1480.295314603555</v>
      </c>
    </row>
    <row r="169" spans="1:19" ht="15" customHeight="1">
      <c r="A169" s="63" t="s">
        <v>108</v>
      </c>
      <c r="B169" s="74">
        <v>166</v>
      </c>
      <c r="C169" s="64">
        <f t="shared" si="26"/>
        <v>1188815.372758798</v>
      </c>
      <c r="D169" s="64">
        <f>IF(G168=0,0,IF(G168&lt;BondCalculator!$B$12,G168+E169,BondCalculator!$B$12))</f>
        <v>19759.39962294191</v>
      </c>
      <c r="E169" s="64">
        <f>C169*BondCalculator!$B$5/12</f>
        <v>7182.426210417739</v>
      </c>
      <c r="F169" s="64">
        <f t="shared" si="21"/>
        <v>12576.97341252417</v>
      </c>
      <c r="G169" s="64">
        <f t="shared" si="22"/>
        <v>1176238.3993462739</v>
      </c>
      <c r="H169" s="76">
        <f t="shared" si="23"/>
        <v>0.47049535973850953</v>
      </c>
      <c r="J169" s="66">
        <f t="shared" si="24"/>
        <v>625498.9331491669</v>
      </c>
      <c r="K169" s="66">
        <f>IF(N168=0,0,IF(N168&lt;BondCalculator!$B$12+BondCalculator!$B$7,N168+L169,BondCalculator!$B$12+BondCalculator!$B$7))</f>
        <v>21759.39962294191</v>
      </c>
      <c r="L169" s="66">
        <f>J169*BondCalculator!$B$5/12</f>
        <v>3779.0560544428827</v>
      </c>
      <c r="M169" s="66">
        <f t="shared" si="25"/>
        <v>17980.343568499025</v>
      </c>
      <c r="N169" s="66">
        <f t="shared" si="18"/>
        <v>607518.5895806679</v>
      </c>
      <c r="P169" s="66">
        <f t="shared" si="19"/>
        <v>3403.370155974856</v>
      </c>
      <c r="Q169" s="67">
        <f>-PV(BondCalculator!$B$9/12,B169,0,1,0)</f>
        <v>0.4369520169991171</v>
      </c>
      <c r="S169" s="68">
        <f t="shared" si="20"/>
        <v>1487.1094542478131</v>
      </c>
    </row>
    <row r="170" spans="1:19" ht="15" customHeight="1">
      <c r="A170" s="63" t="s">
        <v>108</v>
      </c>
      <c r="B170" s="74">
        <v>167</v>
      </c>
      <c r="C170" s="64">
        <f t="shared" si="26"/>
        <v>1176238.3993462739</v>
      </c>
      <c r="D170" s="64">
        <f>IF(G169=0,0,IF(G169&lt;BondCalculator!$B$12,G169+E170,BondCalculator!$B$12))</f>
        <v>19759.39962294191</v>
      </c>
      <c r="E170" s="64">
        <f>C170*BondCalculator!$B$5/12</f>
        <v>7106.440329383738</v>
      </c>
      <c r="F170" s="64">
        <f t="shared" si="21"/>
        <v>12652.959293558171</v>
      </c>
      <c r="G170" s="64">
        <f t="shared" si="22"/>
        <v>1163585.4400527156</v>
      </c>
      <c r="H170" s="76">
        <f t="shared" si="23"/>
        <v>0.4654341760210862</v>
      </c>
      <c r="J170" s="66">
        <f t="shared" si="24"/>
        <v>607518.5895806679</v>
      </c>
      <c r="K170" s="66">
        <f>IF(N169=0,0,IF(N169&lt;BondCalculator!$B$12+BondCalculator!$B$7,N169+L170,BondCalculator!$B$12+BondCalculator!$B$7))</f>
        <v>21759.39962294191</v>
      </c>
      <c r="L170" s="66">
        <f>J170*BondCalculator!$B$5/12</f>
        <v>3670.4248120498683</v>
      </c>
      <c r="M170" s="66">
        <f t="shared" si="25"/>
        <v>18088.974810892043</v>
      </c>
      <c r="N170" s="66">
        <f t="shared" si="18"/>
        <v>589429.6147697759</v>
      </c>
      <c r="P170" s="66">
        <f t="shared" si="19"/>
        <v>3436.0155173338694</v>
      </c>
      <c r="Q170" s="67">
        <f>-PV(BondCalculator!$B$9/12,B170,0,1,0)</f>
        <v>0.4347781263672808</v>
      </c>
      <c r="S170" s="68">
        <f t="shared" si="20"/>
        <v>1493.9043887953228</v>
      </c>
    </row>
    <row r="171" spans="1:19" ht="15" customHeight="1">
      <c r="A171" s="63" t="s">
        <v>108</v>
      </c>
      <c r="B171" s="74">
        <v>168</v>
      </c>
      <c r="C171" s="64">
        <f t="shared" si="26"/>
        <v>1163585.4400527156</v>
      </c>
      <c r="D171" s="64">
        <f>IF(G170=0,0,IF(G170&lt;BondCalculator!$B$12,G170+E171,BondCalculator!$B$12))</f>
        <v>19759.39962294191</v>
      </c>
      <c r="E171" s="64">
        <f>C171*BondCalculator!$B$5/12</f>
        <v>7029.995366985157</v>
      </c>
      <c r="F171" s="64">
        <f t="shared" si="21"/>
        <v>12729.404255956753</v>
      </c>
      <c r="G171" s="64">
        <f t="shared" si="22"/>
        <v>1150856.035796759</v>
      </c>
      <c r="H171" s="76">
        <f t="shared" si="23"/>
        <v>0.4603424143187036</v>
      </c>
      <c r="J171" s="66">
        <f t="shared" si="24"/>
        <v>589429.6147697759</v>
      </c>
      <c r="K171" s="66">
        <f>IF(N170=0,0,IF(N170&lt;BondCalculator!$B$12+BondCalculator!$B$7,N170+L171,BondCalculator!$B$12+BondCalculator!$B$7))</f>
        <v>21759.39962294191</v>
      </c>
      <c r="L171" s="66">
        <f>J171*BondCalculator!$B$5/12</f>
        <v>3561.137255900729</v>
      </c>
      <c r="M171" s="66">
        <f t="shared" si="25"/>
        <v>18198.26236704118</v>
      </c>
      <c r="N171" s="66">
        <f t="shared" si="18"/>
        <v>571231.3524027347</v>
      </c>
      <c r="P171" s="66">
        <f t="shared" si="19"/>
        <v>3468.8581110844275</v>
      </c>
      <c r="Q171" s="67">
        <f>-PV(BondCalculator!$B$9/12,B171,0,1,0)</f>
        <v>0.4326150511117222</v>
      </c>
      <c r="S171" s="68">
        <f t="shared" si="20"/>
        <v>1500.6802290261019</v>
      </c>
    </row>
    <row r="172" spans="1:19" ht="15" customHeight="1">
      <c r="A172" s="63" t="s">
        <v>109</v>
      </c>
      <c r="B172" s="74">
        <v>169</v>
      </c>
      <c r="C172" s="64">
        <f t="shared" si="26"/>
        <v>1150856.035796759</v>
      </c>
      <c r="D172" s="64">
        <f>IF(G171=0,0,IF(G171&lt;BondCalculator!$B$12,G171+E172,BondCalculator!$B$12))</f>
        <v>19759.39962294191</v>
      </c>
      <c r="E172" s="64">
        <f>C172*BondCalculator!$B$5/12</f>
        <v>6953.088549605418</v>
      </c>
      <c r="F172" s="64">
        <f t="shared" si="21"/>
        <v>12806.311073336492</v>
      </c>
      <c r="G172" s="64">
        <f t="shared" si="22"/>
        <v>1138049.7247234224</v>
      </c>
      <c r="H172" s="76">
        <f t="shared" si="23"/>
        <v>0.45521988988936896</v>
      </c>
      <c r="J172" s="66">
        <f t="shared" si="24"/>
        <v>571231.3524027347</v>
      </c>
      <c r="K172" s="66">
        <f>IF(N171=0,0,IF(N171&lt;BondCalculator!$B$12+BondCalculator!$B$7,N171+L172,BondCalculator!$B$12+BondCalculator!$B$7))</f>
        <v>21759.39962294191</v>
      </c>
      <c r="L172" s="66">
        <f>J172*BondCalculator!$B$5/12</f>
        <v>3451.1894207665214</v>
      </c>
      <c r="M172" s="66">
        <f t="shared" si="25"/>
        <v>18308.21020217539</v>
      </c>
      <c r="N172" s="66">
        <f t="shared" si="18"/>
        <v>552923.1422005593</v>
      </c>
      <c r="P172" s="66">
        <f t="shared" si="19"/>
        <v>3501.8991288388966</v>
      </c>
      <c r="Q172" s="67">
        <f>-PV(BondCalculator!$B$9/12,B172,0,1,0)</f>
        <v>0.4304627374245993</v>
      </c>
      <c r="S172" s="68">
        <f t="shared" si="20"/>
        <v>1507.437085184811</v>
      </c>
    </row>
    <row r="173" spans="1:19" ht="15" customHeight="1">
      <c r="A173" s="63" t="s">
        <v>109</v>
      </c>
      <c r="B173" s="74">
        <v>170</v>
      </c>
      <c r="C173" s="64">
        <f t="shared" si="26"/>
        <v>1138049.7247234224</v>
      </c>
      <c r="D173" s="64">
        <f>IF(G172=0,0,IF(G172&lt;BondCalculator!$B$12,G172+E173,BondCalculator!$B$12))</f>
        <v>19759.39962294191</v>
      </c>
      <c r="E173" s="64">
        <f>C173*BondCalculator!$B$5/12</f>
        <v>6875.717086870677</v>
      </c>
      <c r="F173" s="64">
        <f t="shared" si="21"/>
        <v>12883.682536071232</v>
      </c>
      <c r="G173" s="64">
        <f t="shared" si="22"/>
        <v>1125166.0421873513</v>
      </c>
      <c r="H173" s="76">
        <f t="shared" si="23"/>
        <v>0.45006641687494053</v>
      </c>
      <c r="J173" s="66">
        <f t="shared" si="24"/>
        <v>552923.1422005593</v>
      </c>
      <c r="K173" s="66">
        <f>IF(N172=0,0,IF(N172&lt;BondCalculator!$B$12+BondCalculator!$B$7,N172+L173,BondCalculator!$B$12+BondCalculator!$B$7))</f>
        <v>21759.39962294191</v>
      </c>
      <c r="L173" s="66">
        <f>J173*BondCalculator!$B$5/12</f>
        <v>3340.577317461712</v>
      </c>
      <c r="M173" s="66">
        <f t="shared" si="25"/>
        <v>18418.822305480197</v>
      </c>
      <c r="N173" s="66">
        <f t="shared" si="18"/>
        <v>534504.319895079</v>
      </c>
      <c r="P173" s="66">
        <f t="shared" si="19"/>
        <v>3535.139769408965</v>
      </c>
      <c r="Q173" s="67">
        <f>-PV(BondCalculator!$B$9/12,B173,0,1,0)</f>
        <v>0.4283211317657705</v>
      </c>
      <c r="S173" s="68">
        <f t="shared" si="20"/>
        <v>1514.175066983433</v>
      </c>
    </row>
    <row r="174" spans="1:19" ht="15" customHeight="1">
      <c r="A174" s="63" t="s">
        <v>109</v>
      </c>
      <c r="B174" s="74">
        <v>171</v>
      </c>
      <c r="C174" s="64">
        <f t="shared" si="26"/>
        <v>1125166.0421873513</v>
      </c>
      <c r="D174" s="64">
        <f>IF(G173=0,0,IF(G173&lt;BondCalculator!$B$12,G173+E174,BondCalculator!$B$12))</f>
        <v>19759.39962294191</v>
      </c>
      <c r="E174" s="64">
        <f>C174*BondCalculator!$B$5/12</f>
        <v>6797.878171548579</v>
      </c>
      <c r="F174" s="64">
        <f t="shared" si="21"/>
        <v>12961.521451393332</v>
      </c>
      <c r="G174" s="64">
        <f t="shared" si="22"/>
        <v>1112204.520735958</v>
      </c>
      <c r="H174" s="76">
        <f t="shared" si="23"/>
        <v>0.4448818082943832</v>
      </c>
      <c r="J174" s="66">
        <f t="shared" si="24"/>
        <v>534504.319895079</v>
      </c>
      <c r="K174" s="66">
        <f>IF(N173=0,0,IF(N173&lt;BondCalculator!$B$12+BondCalculator!$B$7,N173+L174,BondCalculator!$B$12+BondCalculator!$B$7))</f>
        <v>21759.39962294191</v>
      </c>
      <c r="L174" s="66">
        <f>J174*BondCalculator!$B$5/12</f>
        <v>3229.2969326994353</v>
      </c>
      <c r="M174" s="66">
        <f t="shared" si="25"/>
        <v>18530.102690242475</v>
      </c>
      <c r="N174" s="66">
        <f t="shared" si="18"/>
        <v>515974.21720483655</v>
      </c>
      <c r="P174" s="66">
        <f t="shared" si="19"/>
        <v>3568.581238849144</v>
      </c>
      <c r="Q174" s="67">
        <f>-PV(BondCalculator!$B$9/12,B174,0,1,0)</f>
        <v>0.4261901808614632</v>
      </c>
      <c r="S174" s="68">
        <f t="shared" si="20"/>
        <v>1520.8942836039412</v>
      </c>
    </row>
    <row r="175" spans="1:19" ht="15" customHeight="1">
      <c r="A175" s="63" t="s">
        <v>109</v>
      </c>
      <c r="B175" s="74">
        <v>172</v>
      </c>
      <c r="C175" s="64">
        <f t="shared" si="26"/>
        <v>1112204.520735958</v>
      </c>
      <c r="D175" s="64">
        <f>IF(G174=0,0,IF(G174&lt;BondCalculator!$B$12,G174+E175,BondCalculator!$B$12))</f>
        <v>19759.39962294191</v>
      </c>
      <c r="E175" s="64">
        <f>C175*BondCalculator!$B$5/12</f>
        <v>6719.5689794464115</v>
      </c>
      <c r="F175" s="64">
        <f t="shared" si="21"/>
        <v>13039.830643495497</v>
      </c>
      <c r="G175" s="64">
        <f t="shared" si="22"/>
        <v>1099164.6900924623</v>
      </c>
      <c r="H175" s="76">
        <f t="shared" si="23"/>
        <v>0.4396658760369849</v>
      </c>
      <c r="J175" s="66">
        <f t="shared" si="24"/>
        <v>515974.21720483655</v>
      </c>
      <c r="K175" s="66">
        <f>IF(N174=0,0,IF(N174&lt;BondCalculator!$B$12+BondCalculator!$B$7,N174+L175,BondCalculator!$B$12+BondCalculator!$B$7))</f>
        <v>21759.39962294191</v>
      </c>
      <c r="L175" s="66">
        <f>J175*BondCalculator!$B$5/12</f>
        <v>3117.344228945887</v>
      </c>
      <c r="M175" s="66">
        <f t="shared" si="25"/>
        <v>18642.055393996023</v>
      </c>
      <c r="N175" s="66">
        <f t="shared" si="18"/>
        <v>497332.16181084054</v>
      </c>
      <c r="P175" s="66">
        <f t="shared" si="19"/>
        <v>3602.2247505005244</v>
      </c>
      <c r="Q175" s="67">
        <f>-PV(BondCalculator!$B$9/12,B175,0,1,0)</f>
        <v>0.4240698317029486</v>
      </c>
      <c r="S175" s="68">
        <f t="shared" si="20"/>
        <v>1527.5948437009533</v>
      </c>
    </row>
    <row r="176" spans="1:19" ht="15" customHeight="1">
      <c r="A176" s="63" t="s">
        <v>109</v>
      </c>
      <c r="B176" s="74">
        <v>173</v>
      </c>
      <c r="C176" s="64">
        <f t="shared" si="26"/>
        <v>1099164.6900924623</v>
      </c>
      <c r="D176" s="64">
        <f>IF(G175=0,0,IF(G175&lt;BondCalculator!$B$12,G175+E176,BondCalculator!$B$12))</f>
        <v>19759.39962294191</v>
      </c>
      <c r="E176" s="64">
        <f>C176*BondCalculator!$B$5/12</f>
        <v>6640.786669308626</v>
      </c>
      <c r="F176" s="64">
        <f t="shared" si="21"/>
        <v>13118.612953633285</v>
      </c>
      <c r="G176" s="64">
        <f t="shared" si="22"/>
        <v>1086046.077138829</v>
      </c>
      <c r="H176" s="76">
        <f t="shared" si="23"/>
        <v>0.4344184308555316</v>
      </c>
      <c r="J176" s="66">
        <f t="shared" si="24"/>
        <v>497332.16181084054</v>
      </c>
      <c r="K176" s="66">
        <f>IF(N175=0,0,IF(N175&lt;BondCalculator!$B$12+BondCalculator!$B$7,N175+L176,BondCalculator!$B$12+BondCalculator!$B$7))</f>
        <v>21759.39962294191</v>
      </c>
      <c r="L176" s="66">
        <f>J176*BondCalculator!$B$5/12</f>
        <v>3004.715144273828</v>
      </c>
      <c r="M176" s="66">
        <f t="shared" si="25"/>
        <v>18754.68447866808</v>
      </c>
      <c r="N176" s="66">
        <f t="shared" si="18"/>
        <v>478577.47733217245</v>
      </c>
      <c r="P176" s="66">
        <f t="shared" si="19"/>
        <v>3636.071525034798</v>
      </c>
      <c r="Q176" s="67">
        <f>-PV(BondCalculator!$B$9/12,B176,0,1,0)</f>
        <v>0.4219600315452226</v>
      </c>
      <c r="S176" s="68">
        <f t="shared" si="20"/>
        <v>1534.276855404369</v>
      </c>
    </row>
    <row r="177" spans="1:19" ht="15" customHeight="1">
      <c r="A177" s="63" t="s">
        <v>109</v>
      </c>
      <c r="B177" s="74">
        <v>174</v>
      </c>
      <c r="C177" s="64">
        <f t="shared" si="26"/>
        <v>1086046.077138829</v>
      </c>
      <c r="D177" s="64">
        <f>IF(G176=0,0,IF(G176&lt;BondCalculator!$B$12,G176+E177,BondCalculator!$B$12))</f>
        <v>19759.39962294191</v>
      </c>
      <c r="E177" s="64">
        <f>C177*BondCalculator!$B$5/12</f>
        <v>6561.528382713758</v>
      </c>
      <c r="F177" s="64">
        <f t="shared" si="21"/>
        <v>13197.871240228153</v>
      </c>
      <c r="G177" s="64">
        <f t="shared" si="22"/>
        <v>1072848.2058986009</v>
      </c>
      <c r="H177" s="76">
        <f t="shared" si="23"/>
        <v>0.4291392823594403</v>
      </c>
      <c r="J177" s="66">
        <f t="shared" si="24"/>
        <v>478577.47733217245</v>
      </c>
      <c r="K177" s="66">
        <f>IF(N176=0,0,IF(N176&lt;BondCalculator!$B$12+BondCalculator!$B$7,N176+L177,BondCalculator!$B$12+BondCalculator!$B$7))</f>
        <v>21759.39962294191</v>
      </c>
      <c r="L177" s="66">
        <f>J177*BondCalculator!$B$5/12</f>
        <v>2891.405592215209</v>
      </c>
      <c r="M177" s="66">
        <f t="shared" si="25"/>
        <v>18867.994030726702</v>
      </c>
      <c r="N177" s="66">
        <f t="shared" si="18"/>
        <v>459709.4833014457</v>
      </c>
      <c r="P177" s="66">
        <f t="shared" si="19"/>
        <v>3670.1227904985494</v>
      </c>
      <c r="Q177" s="67">
        <f>-PV(BondCalculator!$B$9/12,B177,0,1,0)</f>
        <v>0.4198607279056941</v>
      </c>
      <c r="S177" s="68">
        <f t="shared" si="20"/>
        <v>1540.9404263219983</v>
      </c>
    </row>
    <row r="178" spans="1:19" ht="15" customHeight="1">
      <c r="A178" s="63" t="s">
        <v>109</v>
      </c>
      <c r="B178" s="74">
        <v>175</v>
      </c>
      <c r="C178" s="64">
        <f t="shared" si="26"/>
        <v>1072848.2058986009</v>
      </c>
      <c r="D178" s="64">
        <f>IF(G177=0,0,IF(G177&lt;BondCalculator!$B$12,G177+E178,BondCalculator!$B$12))</f>
        <v>19759.39962294191</v>
      </c>
      <c r="E178" s="64">
        <f>C178*BondCalculator!$B$5/12</f>
        <v>6481.791243970713</v>
      </c>
      <c r="F178" s="64">
        <f t="shared" si="21"/>
        <v>13277.608378971196</v>
      </c>
      <c r="G178" s="64">
        <f t="shared" si="22"/>
        <v>1059570.5975196296</v>
      </c>
      <c r="H178" s="76">
        <f t="shared" si="23"/>
        <v>0.4238282390078519</v>
      </c>
      <c r="J178" s="66">
        <f t="shared" si="24"/>
        <v>459709.4833014457</v>
      </c>
      <c r="K178" s="66">
        <f>IF(N177=0,0,IF(N177&lt;BondCalculator!$B$12+BondCalculator!$B$7,N177+L178,BondCalculator!$B$12+BondCalculator!$B$7))</f>
        <v>21759.39962294191</v>
      </c>
      <c r="L178" s="66">
        <f>J178*BondCalculator!$B$5/12</f>
        <v>2777.411461612901</v>
      </c>
      <c r="M178" s="66">
        <f t="shared" si="25"/>
        <v>18981.98816132901</v>
      </c>
      <c r="N178" s="66">
        <f t="shared" si="18"/>
        <v>440727.4951401167</v>
      </c>
      <c r="P178" s="66">
        <f t="shared" si="19"/>
        <v>3704.3797823578125</v>
      </c>
      <c r="Q178" s="67">
        <f>-PV(BondCalculator!$B$9/12,B178,0,1,0)</f>
        <v>0.41777186856287984</v>
      </c>
      <c r="S178" s="68">
        <f t="shared" si="20"/>
        <v>1547.5856635421774</v>
      </c>
    </row>
    <row r="179" spans="1:19" ht="15" customHeight="1">
      <c r="A179" s="63" t="s">
        <v>109</v>
      </c>
      <c r="B179" s="74">
        <v>176</v>
      </c>
      <c r="C179" s="64">
        <f t="shared" si="26"/>
        <v>1059570.5975196296</v>
      </c>
      <c r="D179" s="64">
        <f>IF(G178=0,0,IF(G178&lt;BondCalculator!$B$12,G178+E179,BondCalculator!$B$12))</f>
        <v>19759.39962294191</v>
      </c>
      <c r="E179" s="64">
        <f>C179*BondCalculator!$B$5/12</f>
        <v>6401.572360014429</v>
      </c>
      <c r="F179" s="64">
        <f t="shared" si="21"/>
        <v>13357.82726292748</v>
      </c>
      <c r="G179" s="64">
        <f t="shared" si="22"/>
        <v>1046212.7702567022</v>
      </c>
      <c r="H179" s="76">
        <f t="shared" si="23"/>
        <v>0.41848510810268086</v>
      </c>
      <c r="J179" s="66">
        <f t="shared" si="24"/>
        <v>440727.4951401167</v>
      </c>
      <c r="K179" s="66">
        <f>IF(N178=0,0,IF(N178&lt;BondCalculator!$B$12+BondCalculator!$B$7,N178+L179,BondCalculator!$B$12+BondCalculator!$B$7))</f>
        <v>21759.39962294191</v>
      </c>
      <c r="L179" s="66">
        <f>J179*BondCalculator!$B$5/12</f>
        <v>2662.7286164715383</v>
      </c>
      <c r="M179" s="66">
        <f t="shared" si="25"/>
        <v>19096.671006470373</v>
      </c>
      <c r="N179" s="66">
        <f t="shared" si="18"/>
        <v>421630.8241336463</v>
      </c>
      <c r="P179" s="66">
        <f t="shared" si="19"/>
        <v>3738.843743542891</v>
      </c>
      <c r="Q179" s="67">
        <f>-PV(BondCalculator!$B$9/12,B179,0,1,0)</f>
        <v>0.41569340155510437</v>
      </c>
      <c r="S179" s="68">
        <f t="shared" si="20"/>
        <v>1554.2126736363646</v>
      </c>
    </row>
    <row r="180" spans="1:19" ht="15" customHeight="1">
      <c r="A180" s="63" t="s">
        <v>109</v>
      </c>
      <c r="B180" s="74">
        <v>177</v>
      </c>
      <c r="C180" s="64">
        <f t="shared" si="26"/>
        <v>1046212.7702567022</v>
      </c>
      <c r="D180" s="64">
        <f>IF(G179=0,0,IF(G179&lt;BondCalculator!$B$12,G179+E180,BondCalculator!$B$12))</f>
        <v>19759.39962294191</v>
      </c>
      <c r="E180" s="64">
        <f>C180*BondCalculator!$B$5/12</f>
        <v>6320.868820300909</v>
      </c>
      <c r="F180" s="64">
        <f t="shared" si="21"/>
        <v>13438.530802641002</v>
      </c>
      <c r="G180" s="64">
        <f t="shared" si="22"/>
        <v>1032774.2394540613</v>
      </c>
      <c r="H180" s="76">
        <f t="shared" si="23"/>
        <v>0.4131096957816245</v>
      </c>
      <c r="J180" s="66">
        <f t="shared" si="24"/>
        <v>421630.8241336463</v>
      </c>
      <c r="K180" s="66">
        <f>IF(N179=0,0,IF(N179&lt;BondCalculator!$B$12+BondCalculator!$B$7,N179+L180,BondCalculator!$B$12+BondCalculator!$B$7))</f>
        <v>21759.39962294191</v>
      </c>
      <c r="L180" s="66">
        <f>J180*BondCalculator!$B$5/12</f>
        <v>2547.352895807446</v>
      </c>
      <c r="M180" s="66">
        <f t="shared" si="25"/>
        <v>19212.046727134464</v>
      </c>
      <c r="N180" s="66">
        <f t="shared" si="18"/>
        <v>402418.7774065119</v>
      </c>
      <c r="P180" s="66">
        <f t="shared" si="19"/>
        <v>3773.5159244934625</v>
      </c>
      <c r="Q180" s="67">
        <f>-PV(BondCalculator!$B$9/12,B180,0,1,0)</f>
        <v>0.41362527517920833</v>
      </c>
      <c r="S180" s="68">
        <f t="shared" si="20"/>
        <v>1560.8215626617332</v>
      </c>
    </row>
    <row r="181" spans="1:19" ht="15" customHeight="1">
      <c r="A181" s="63" t="s">
        <v>109</v>
      </c>
      <c r="B181" s="74">
        <v>178</v>
      </c>
      <c r="C181" s="64">
        <f t="shared" si="26"/>
        <v>1032774.2394540613</v>
      </c>
      <c r="D181" s="64">
        <f>IF(G180=0,0,IF(G180&lt;BondCalculator!$B$12,G180+E181,BondCalculator!$B$12))</f>
        <v>19759.39962294191</v>
      </c>
      <c r="E181" s="64">
        <f>C181*BondCalculator!$B$5/12</f>
        <v>6239.677696701619</v>
      </c>
      <c r="F181" s="64">
        <f t="shared" si="21"/>
        <v>13519.72192624029</v>
      </c>
      <c r="G181" s="64">
        <f t="shared" si="22"/>
        <v>1019254.517527821</v>
      </c>
      <c r="H181" s="76">
        <f t="shared" si="23"/>
        <v>0.4077018070111284</v>
      </c>
      <c r="J181" s="66">
        <f t="shared" si="24"/>
        <v>402418.7774065119</v>
      </c>
      <c r="K181" s="66">
        <f>IF(N180=0,0,IF(N180&lt;BondCalculator!$B$12+BondCalculator!$B$7,N180+L181,BondCalculator!$B$12+BondCalculator!$B$7))</f>
        <v>21759.39962294191</v>
      </c>
      <c r="L181" s="66">
        <f>J181*BondCalculator!$B$5/12</f>
        <v>2431.2801134976758</v>
      </c>
      <c r="M181" s="66">
        <f t="shared" si="25"/>
        <v>19328.119509444234</v>
      </c>
      <c r="N181" s="66">
        <f t="shared" si="18"/>
        <v>383090.65789706766</v>
      </c>
      <c r="P181" s="66">
        <f t="shared" si="19"/>
        <v>3808.3975832039437</v>
      </c>
      <c r="Q181" s="67">
        <f>-PV(BondCalculator!$B$9/12,B181,0,1,0)</f>
        <v>0.41156743798926215</v>
      </c>
      <c r="S181" s="68">
        <f t="shared" si="20"/>
        <v>1567.412436163745</v>
      </c>
    </row>
    <row r="182" spans="1:19" ht="15" customHeight="1">
      <c r="A182" s="63" t="s">
        <v>109</v>
      </c>
      <c r="B182" s="74">
        <v>179</v>
      </c>
      <c r="C182" s="64">
        <f t="shared" si="26"/>
        <v>1019254.517527821</v>
      </c>
      <c r="D182" s="64">
        <f>IF(G181=0,0,IF(G181&lt;BondCalculator!$B$12,G181+E182,BondCalculator!$B$12))</f>
        <v>19759.39962294191</v>
      </c>
      <c r="E182" s="64">
        <f>C182*BondCalculator!$B$5/12</f>
        <v>6157.996043397252</v>
      </c>
      <c r="F182" s="64">
        <f t="shared" si="21"/>
        <v>13601.403579544658</v>
      </c>
      <c r="G182" s="64">
        <f t="shared" si="22"/>
        <v>1005653.1139482764</v>
      </c>
      <c r="H182" s="76">
        <f t="shared" si="23"/>
        <v>0.40226124557931053</v>
      </c>
      <c r="J182" s="66">
        <f t="shared" si="24"/>
        <v>383090.65789706766</v>
      </c>
      <c r="K182" s="66">
        <f>IF(N181=0,0,IF(N181&lt;BondCalculator!$B$12+BondCalculator!$B$7,N181+L182,BondCalculator!$B$12+BondCalculator!$B$7))</f>
        <v>21759.39962294191</v>
      </c>
      <c r="L182" s="66">
        <f>J182*BondCalculator!$B$5/12</f>
        <v>2314.5060581281173</v>
      </c>
      <c r="M182" s="66">
        <f t="shared" si="25"/>
        <v>19444.893564813792</v>
      </c>
      <c r="N182" s="66">
        <f t="shared" si="18"/>
        <v>363645.7643322539</v>
      </c>
      <c r="P182" s="66">
        <f t="shared" si="19"/>
        <v>3843.4899852691346</v>
      </c>
      <c r="Q182" s="67">
        <f>-PV(BondCalculator!$B$9/12,B182,0,1,0)</f>
        <v>0.4095198387952858</v>
      </c>
      <c r="S182" s="68">
        <f t="shared" si="20"/>
        <v>1573.9853991787115</v>
      </c>
    </row>
    <row r="183" spans="1:19" ht="15" customHeight="1">
      <c r="A183" s="63" t="s">
        <v>109</v>
      </c>
      <c r="B183" s="74">
        <v>180</v>
      </c>
      <c r="C183" s="64">
        <f t="shared" si="26"/>
        <v>1005653.1139482764</v>
      </c>
      <c r="D183" s="64">
        <f>IF(G182=0,0,IF(G182&lt;BondCalculator!$B$12,G182+E183,BondCalculator!$B$12))</f>
        <v>19759.39962294191</v>
      </c>
      <c r="E183" s="64">
        <f>C183*BondCalculator!$B$5/12</f>
        <v>6075.820896770837</v>
      </c>
      <c r="F183" s="64">
        <f t="shared" si="21"/>
        <v>13683.578726171072</v>
      </c>
      <c r="G183" s="64">
        <f t="shared" si="22"/>
        <v>991969.5352221053</v>
      </c>
      <c r="H183" s="76">
        <f t="shared" si="23"/>
        <v>0.3967878140888421</v>
      </c>
      <c r="J183" s="66">
        <f t="shared" si="24"/>
        <v>363645.7643322539</v>
      </c>
      <c r="K183" s="66">
        <f>IF(N182=0,0,IF(N182&lt;BondCalculator!$B$12+BondCalculator!$B$7,N182+L183,BondCalculator!$B$12+BondCalculator!$B$7))</f>
        <v>21759.39962294191</v>
      </c>
      <c r="L183" s="66">
        <f>J183*BondCalculator!$B$5/12</f>
        <v>2197.0264928407005</v>
      </c>
      <c r="M183" s="66">
        <f t="shared" si="25"/>
        <v>19562.37313010121</v>
      </c>
      <c r="N183" s="66">
        <f t="shared" si="18"/>
        <v>344083.3912021527</v>
      </c>
      <c r="P183" s="66">
        <f t="shared" si="19"/>
        <v>3878.7944039301365</v>
      </c>
      <c r="Q183" s="67">
        <f>-PV(BondCalculator!$B$9/12,B183,0,1,0)</f>
        <v>0.4074824266619759</v>
      </c>
      <c r="S183" s="68">
        <f t="shared" si="20"/>
        <v>1580.5405562363444</v>
      </c>
    </row>
    <row r="184" spans="1:19" ht="15" customHeight="1">
      <c r="A184" s="63" t="s">
        <v>110</v>
      </c>
      <c r="B184" s="74">
        <v>181</v>
      </c>
      <c r="C184" s="64">
        <f t="shared" si="26"/>
        <v>991969.5352221053</v>
      </c>
      <c r="D184" s="64">
        <f>IF(G183=0,0,IF(G183&lt;BondCalculator!$B$12,G183+E184,BondCalculator!$B$12))</f>
        <v>19759.39962294191</v>
      </c>
      <c r="E184" s="64">
        <f>C184*BondCalculator!$B$5/12</f>
        <v>5993.149275300219</v>
      </c>
      <c r="F184" s="64">
        <f t="shared" si="21"/>
        <v>13766.25034764169</v>
      </c>
      <c r="G184" s="64">
        <f t="shared" si="22"/>
        <v>978203.2848744637</v>
      </c>
      <c r="H184" s="76">
        <f t="shared" si="23"/>
        <v>0.3912813139497855</v>
      </c>
      <c r="J184" s="66">
        <f t="shared" si="24"/>
        <v>344083.3912021527</v>
      </c>
      <c r="K184" s="66">
        <f>IF(N183=0,0,IF(N183&lt;BondCalculator!$B$12+BondCalculator!$B$7,N183+L184,BondCalculator!$B$12+BondCalculator!$B$7))</f>
        <v>21759.39962294191</v>
      </c>
      <c r="L184" s="66">
        <f>J184*BondCalculator!$B$5/12</f>
        <v>2078.837155179672</v>
      </c>
      <c r="M184" s="66">
        <f t="shared" si="25"/>
        <v>19680.562467762236</v>
      </c>
      <c r="N184" s="66">
        <f t="shared" si="18"/>
        <v>324402.8287343905</v>
      </c>
      <c r="P184" s="66">
        <f t="shared" si="19"/>
        <v>3914.312120120547</v>
      </c>
      <c r="Q184" s="67">
        <f>-PV(BondCalculator!$B$9/12,B184,0,1,0)</f>
        <v>0.4054551509074388</v>
      </c>
      <c r="S184" s="68">
        <f t="shared" si="20"/>
        <v>1587.0780113622932</v>
      </c>
    </row>
    <row r="185" spans="1:19" ht="15" customHeight="1">
      <c r="A185" s="63" t="s">
        <v>110</v>
      </c>
      <c r="B185" s="74">
        <v>182</v>
      </c>
      <c r="C185" s="64">
        <f t="shared" si="26"/>
        <v>978203.2848744637</v>
      </c>
      <c r="D185" s="64">
        <f>IF(G184=0,0,IF(G184&lt;BondCalculator!$B$12,G184+E185,BondCalculator!$B$12))</f>
        <v>19759.39962294191</v>
      </c>
      <c r="E185" s="64">
        <f>C185*BondCalculator!$B$5/12</f>
        <v>5909.978179449885</v>
      </c>
      <c r="F185" s="64">
        <f t="shared" si="21"/>
        <v>13849.421443492025</v>
      </c>
      <c r="G185" s="64">
        <f t="shared" si="22"/>
        <v>964353.8634309716</v>
      </c>
      <c r="H185" s="76">
        <f t="shared" si="23"/>
        <v>0.38574154537238864</v>
      </c>
      <c r="J185" s="66">
        <f t="shared" si="24"/>
        <v>324402.8287343905</v>
      </c>
      <c r="K185" s="66">
        <f>IF(N184=0,0,IF(N184&lt;BondCalculator!$B$12+BondCalculator!$B$7,N184+L185,BondCalculator!$B$12+BondCalculator!$B$7))</f>
        <v>21759.39962294191</v>
      </c>
      <c r="L185" s="66">
        <f>J185*BondCalculator!$B$5/12</f>
        <v>1959.9337569369425</v>
      </c>
      <c r="M185" s="66">
        <f t="shared" si="25"/>
        <v>19799.465866004968</v>
      </c>
      <c r="N185" s="66">
        <f t="shared" si="18"/>
        <v>304603.3628683855</v>
      </c>
      <c r="P185" s="66">
        <f t="shared" si="19"/>
        <v>3950.044422512942</v>
      </c>
      <c r="Q185" s="67">
        <f>-PV(BondCalculator!$B$9/12,B185,0,1,0)</f>
        <v>0.40343796110192925</v>
      </c>
      <c r="S185" s="68">
        <f t="shared" si="20"/>
        <v>1593.597868080669</v>
      </c>
    </row>
    <row r="186" spans="1:19" ht="15" customHeight="1">
      <c r="A186" s="63" t="s">
        <v>110</v>
      </c>
      <c r="B186" s="74">
        <v>183</v>
      </c>
      <c r="C186" s="64">
        <f t="shared" si="26"/>
        <v>964353.8634309716</v>
      </c>
      <c r="D186" s="64">
        <f>IF(G185=0,0,IF(G185&lt;BondCalculator!$B$12,G185+E186,BondCalculator!$B$12))</f>
        <v>19759.39962294191</v>
      </c>
      <c r="E186" s="64">
        <f>C186*BondCalculator!$B$5/12</f>
        <v>5826.30459156212</v>
      </c>
      <c r="F186" s="64">
        <f t="shared" si="21"/>
        <v>13933.095031379791</v>
      </c>
      <c r="G186" s="64">
        <f t="shared" si="22"/>
        <v>950420.7683995918</v>
      </c>
      <c r="H186" s="76">
        <f t="shared" si="23"/>
        <v>0.3801683073598367</v>
      </c>
      <c r="J186" s="66">
        <f t="shared" si="24"/>
        <v>304603.3628683855</v>
      </c>
      <c r="K186" s="66">
        <f>IF(N185=0,0,IF(N185&lt;BondCalculator!$B$12+BondCalculator!$B$7,N185+L186,BondCalculator!$B$12+BondCalculator!$B$7))</f>
        <v>21759.39962294191</v>
      </c>
      <c r="L186" s="66">
        <f>J186*BondCalculator!$B$5/12</f>
        <v>1840.3119839964957</v>
      </c>
      <c r="M186" s="66">
        <f t="shared" si="25"/>
        <v>19919.087638945413</v>
      </c>
      <c r="N186" s="66">
        <f t="shared" si="18"/>
        <v>284684.27522944007</v>
      </c>
      <c r="P186" s="66">
        <f t="shared" si="19"/>
        <v>3985.992607565624</v>
      </c>
      <c r="Q186" s="67">
        <f>-PV(BondCalculator!$B$9/12,B186,0,1,0)</f>
        <v>0.4014308070665963</v>
      </c>
      <c r="S186" s="68">
        <f t="shared" si="20"/>
        <v>1600.100229416555</v>
      </c>
    </row>
    <row r="187" spans="1:19" ht="15" customHeight="1">
      <c r="A187" s="63" t="s">
        <v>110</v>
      </c>
      <c r="B187" s="74">
        <v>184</v>
      </c>
      <c r="C187" s="64">
        <f t="shared" si="26"/>
        <v>950420.7683995918</v>
      </c>
      <c r="D187" s="64">
        <f>IF(G186=0,0,IF(G186&lt;BondCalculator!$B$12,G186+E187,BondCalculator!$B$12))</f>
        <v>19759.39962294191</v>
      </c>
      <c r="E187" s="64">
        <f>C187*BondCalculator!$B$5/12</f>
        <v>5742.1254757475335</v>
      </c>
      <c r="F187" s="64">
        <f t="shared" si="21"/>
        <v>14017.274147194377</v>
      </c>
      <c r="G187" s="64">
        <f t="shared" si="22"/>
        <v>936403.4942523974</v>
      </c>
      <c r="H187" s="76">
        <f t="shared" si="23"/>
        <v>0.374561397700959</v>
      </c>
      <c r="J187" s="66">
        <f t="shared" si="24"/>
        <v>284684.27522944007</v>
      </c>
      <c r="K187" s="66">
        <f>IF(N186=0,0,IF(N186&lt;BondCalculator!$B$12+BondCalculator!$B$7,N186+L187,BondCalculator!$B$12+BondCalculator!$B$7))</f>
        <v>21759.39962294191</v>
      </c>
      <c r="L187" s="66">
        <f>J187*BondCalculator!$B$5/12</f>
        <v>1719.9674961778671</v>
      </c>
      <c r="M187" s="66">
        <f t="shared" si="25"/>
        <v>20039.432126764044</v>
      </c>
      <c r="N187" s="66">
        <f t="shared" si="18"/>
        <v>264644.84310267604</v>
      </c>
      <c r="P187" s="66">
        <f t="shared" si="19"/>
        <v>4022.157979569666</v>
      </c>
      <c r="Q187" s="67">
        <f>-PV(BondCalculator!$B$9/12,B187,0,1,0)</f>
        <v>0.39943363887223515</v>
      </c>
      <c r="S187" s="68">
        <f t="shared" si="20"/>
        <v>1606.585197898509</v>
      </c>
    </row>
    <row r="188" spans="1:19" ht="15" customHeight="1">
      <c r="A188" s="63" t="s">
        <v>110</v>
      </c>
      <c r="B188" s="74">
        <v>185</v>
      </c>
      <c r="C188" s="64">
        <f t="shared" si="26"/>
        <v>936403.4942523974</v>
      </c>
      <c r="D188" s="64">
        <f>IF(G187=0,0,IF(G187&lt;BondCalculator!$B$12,G187+E188,BondCalculator!$B$12))</f>
        <v>19759.39962294191</v>
      </c>
      <c r="E188" s="64">
        <f>C188*BondCalculator!$B$5/12</f>
        <v>5657.4377777749005</v>
      </c>
      <c r="F188" s="64">
        <f t="shared" si="21"/>
        <v>14101.96184516701</v>
      </c>
      <c r="G188" s="64">
        <f t="shared" si="22"/>
        <v>922301.5324072305</v>
      </c>
      <c r="H188" s="76">
        <f t="shared" si="23"/>
        <v>0.3689206129628922</v>
      </c>
      <c r="J188" s="66">
        <f t="shared" si="24"/>
        <v>264644.84310267604</v>
      </c>
      <c r="K188" s="66">
        <f>IF(N187=0,0,IF(N187&lt;BondCalculator!$B$12+BondCalculator!$B$7,N187+L188,BondCalculator!$B$12+BondCalculator!$B$7))</f>
        <v>21759.39962294191</v>
      </c>
      <c r="L188" s="66">
        <f>J188*BondCalculator!$B$5/12</f>
        <v>1598.8959270786675</v>
      </c>
      <c r="M188" s="66">
        <f t="shared" si="25"/>
        <v>20160.50369586324</v>
      </c>
      <c r="N188" s="66">
        <f t="shared" si="18"/>
        <v>244484.3394068128</v>
      </c>
      <c r="P188" s="66">
        <f t="shared" si="19"/>
        <v>4058.5418506962333</v>
      </c>
      <c r="Q188" s="67">
        <f>-PV(BondCalculator!$B$9/12,B188,0,1,0)</f>
        <v>0.397446406838045</v>
      </c>
      <c r="S188" s="68">
        <f t="shared" si="20"/>
        <v>1613.0528755610471</v>
      </c>
    </row>
    <row r="189" spans="1:19" ht="15" customHeight="1">
      <c r="A189" s="63" t="s">
        <v>110</v>
      </c>
      <c r="B189" s="74">
        <v>186</v>
      </c>
      <c r="C189" s="64">
        <f t="shared" si="26"/>
        <v>922301.5324072305</v>
      </c>
      <c r="D189" s="64">
        <f>IF(G188=0,0,IF(G188&lt;BondCalculator!$B$12,G188+E189,BondCalculator!$B$12))</f>
        <v>19759.39962294191</v>
      </c>
      <c r="E189" s="64">
        <f>C189*BondCalculator!$B$5/12</f>
        <v>5572.23842496035</v>
      </c>
      <c r="F189" s="64">
        <f t="shared" si="21"/>
        <v>14187.16119798156</v>
      </c>
      <c r="G189" s="64">
        <f t="shared" si="22"/>
        <v>908114.3712092489</v>
      </c>
      <c r="H189" s="76">
        <f t="shared" si="23"/>
        <v>0.36324574848369956</v>
      </c>
      <c r="J189" s="66">
        <f t="shared" si="24"/>
        <v>244484.3394068128</v>
      </c>
      <c r="K189" s="66">
        <f>IF(N188=0,0,IF(N188&lt;BondCalculator!$B$12+BondCalculator!$B$7,N188+L189,BondCalculator!$B$12+BondCalculator!$B$7))</f>
        <v>21759.39962294191</v>
      </c>
      <c r="L189" s="66">
        <f>J189*BondCalculator!$B$5/12</f>
        <v>1477.0928839161606</v>
      </c>
      <c r="M189" s="66">
        <f t="shared" si="25"/>
        <v>20282.30673902575</v>
      </c>
      <c r="N189" s="66">
        <f t="shared" si="18"/>
        <v>224202.03266778705</v>
      </c>
      <c r="P189" s="66">
        <f t="shared" si="19"/>
        <v>4095.1455410441895</v>
      </c>
      <c r="Q189" s="67">
        <f>-PV(BondCalculator!$B$9/12,B189,0,1,0)</f>
        <v>0.39546906153039313</v>
      </c>
      <c r="S189" s="68">
        <f t="shared" si="20"/>
        <v>1619.5033639471196</v>
      </c>
    </row>
    <row r="190" spans="1:19" ht="15" customHeight="1">
      <c r="A190" s="63" t="s">
        <v>110</v>
      </c>
      <c r="B190" s="74">
        <v>187</v>
      </c>
      <c r="C190" s="64">
        <f t="shared" si="26"/>
        <v>908114.3712092489</v>
      </c>
      <c r="D190" s="64">
        <f>IF(G189=0,0,IF(G189&lt;BondCalculator!$B$12,G189+E190,BondCalculator!$B$12))</f>
        <v>19759.39962294191</v>
      </c>
      <c r="E190" s="64">
        <f>C190*BondCalculator!$B$5/12</f>
        <v>5486.524326055878</v>
      </c>
      <c r="F190" s="64">
        <f t="shared" si="21"/>
        <v>14272.875296886032</v>
      </c>
      <c r="G190" s="64">
        <f t="shared" si="22"/>
        <v>893841.4959123628</v>
      </c>
      <c r="H190" s="76">
        <f t="shared" si="23"/>
        <v>0.3575365983649451</v>
      </c>
      <c r="J190" s="66">
        <f t="shared" si="24"/>
        <v>224202.03266778705</v>
      </c>
      <c r="K190" s="66">
        <f>IF(N189=0,0,IF(N189&lt;BondCalculator!$B$12+BondCalculator!$B$7,N189+L190,BondCalculator!$B$12+BondCalculator!$B$7))</f>
        <v>21759.39962294191</v>
      </c>
      <c r="L190" s="66">
        <f>J190*BondCalculator!$B$5/12</f>
        <v>1354.55394736788</v>
      </c>
      <c r="M190" s="66">
        <f t="shared" si="25"/>
        <v>20404.84567557403</v>
      </c>
      <c r="N190" s="66">
        <f t="shared" si="18"/>
        <v>203797.186992213</v>
      </c>
      <c r="P190" s="66">
        <f t="shared" si="19"/>
        <v>4131.970378687998</v>
      </c>
      <c r="Q190" s="67">
        <f>-PV(BondCalculator!$B$9/12,B190,0,1,0)</f>
        <v>0.3935015537615852</v>
      </c>
      <c r="S190" s="68">
        <f t="shared" si="20"/>
        <v>1625.9367641105728</v>
      </c>
    </row>
    <row r="191" spans="1:19" ht="15" customHeight="1">
      <c r="A191" s="63" t="s">
        <v>110</v>
      </c>
      <c r="B191" s="74">
        <v>188</v>
      </c>
      <c r="C191" s="64">
        <f t="shared" si="26"/>
        <v>893841.4959123628</v>
      </c>
      <c r="D191" s="64">
        <f>IF(G190=0,0,IF(G190&lt;BondCalculator!$B$12,G190+E191,BondCalculator!$B$12))</f>
        <v>19759.39962294191</v>
      </c>
      <c r="E191" s="64">
        <f>C191*BondCalculator!$B$5/12</f>
        <v>5400.292371137192</v>
      </c>
      <c r="F191" s="64">
        <f t="shared" si="21"/>
        <v>14359.107251804719</v>
      </c>
      <c r="G191" s="64">
        <f t="shared" si="22"/>
        <v>879482.3886605582</v>
      </c>
      <c r="H191" s="76">
        <f t="shared" si="23"/>
        <v>0.35179295546422323</v>
      </c>
      <c r="J191" s="66">
        <f t="shared" si="24"/>
        <v>203797.186992213</v>
      </c>
      <c r="K191" s="66">
        <f>IF(N190=0,0,IF(N190&lt;BondCalculator!$B$12+BondCalculator!$B$7,N190+L191,BondCalculator!$B$12+BondCalculator!$B$7))</f>
        <v>21759.39962294191</v>
      </c>
      <c r="L191" s="66">
        <f>J191*BondCalculator!$B$5/12</f>
        <v>1231.2746714112868</v>
      </c>
      <c r="M191" s="66">
        <f t="shared" si="25"/>
        <v>20528.124951530623</v>
      </c>
      <c r="N191" s="66">
        <f t="shared" si="18"/>
        <v>183269.0620406824</v>
      </c>
      <c r="P191" s="66">
        <f t="shared" si="19"/>
        <v>4169.017699725906</v>
      </c>
      <c r="Q191" s="67">
        <f>-PV(BondCalculator!$B$9/12,B191,0,1,0)</f>
        <v>0.39154383458864206</v>
      </c>
      <c r="S191" s="68">
        <f t="shared" si="20"/>
        <v>1632.353176618601</v>
      </c>
    </row>
    <row r="192" spans="1:19" ht="15" customHeight="1">
      <c r="A192" s="63" t="s">
        <v>110</v>
      </c>
      <c r="B192" s="74">
        <v>189</v>
      </c>
      <c r="C192" s="64">
        <f t="shared" si="26"/>
        <v>879482.3886605582</v>
      </c>
      <c r="D192" s="64">
        <f>IF(G191=0,0,IF(G191&lt;BondCalculator!$B$12,G191+E192,BondCalculator!$B$12))</f>
        <v>19759.39962294191</v>
      </c>
      <c r="E192" s="64">
        <f>C192*BondCalculator!$B$5/12</f>
        <v>5313.539431490872</v>
      </c>
      <c r="F192" s="64">
        <f t="shared" si="21"/>
        <v>14445.860191451038</v>
      </c>
      <c r="G192" s="64">
        <f t="shared" si="22"/>
        <v>865036.5284691071</v>
      </c>
      <c r="H192" s="76">
        <f t="shared" si="23"/>
        <v>0.34601461138764283</v>
      </c>
      <c r="J192" s="66">
        <f t="shared" si="24"/>
        <v>183269.0620406824</v>
      </c>
      <c r="K192" s="66">
        <f>IF(N191=0,0,IF(N191&lt;BondCalculator!$B$12+BondCalculator!$B$7,N191+L192,BondCalculator!$B$12+BondCalculator!$B$7))</f>
        <v>21759.39962294191</v>
      </c>
      <c r="L192" s="66">
        <f>J192*BondCalculator!$B$5/12</f>
        <v>1107.250583162456</v>
      </c>
      <c r="M192" s="66">
        <f t="shared" si="25"/>
        <v>20652.149039779455</v>
      </c>
      <c r="N192" s="66">
        <f t="shared" si="18"/>
        <v>162616.91300090292</v>
      </c>
      <c r="P192" s="66">
        <f t="shared" si="19"/>
        <v>4206.288848328416</v>
      </c>
      <c r="Q192" s="67">
        <f>-PV(BondCalculator!$B$9/12,B192,0,1,0)</f>
        <v>0.38959585531208174</v>
      </c>
      <c r="S192" s="68">
        <f t="shared" si="20"/>
        <v>1638.7527015541805</v>
      </c>
    </row>
    <row r="193" spans="1:19" ht="15" customHeight="1">
      <c r="A193" s="63" t="s">
        <v>110</v>
      </c>
      <c r="B193" s="74">
        <v>190</v>
      </c>
      <c r="C193" s="64">
        <f t="shared" si="26"/>
        <v>865036.5284691071</v>
      </c>
      <c r="D193" s="64">
        <f>IF(G192=0,0,IF(G192&lt;BondCalculator!$B$12,G192+E193,BondCalculator!$B$12))</f>
        <v>19759.39962294191</v>
      </c>
      <c r="E193" s="64">
        <f>C193*BondCalculator!$B$5/12</f>
        <v>5226.262359500855</v>
      </c>
      <c r="F193" s="64">
        <f t="shared" si="21"/>
        <v>14533.137263441055</v>
      </c>
      <c r="G193" s="64">
        <f t="shared" si="22"/>
        <v>850503.391205666</v>
      </c>
      <c r="H193" s="76">
        <f t="shared" si="23"/>
        <v>0.3402013564822664</v>
      </c>
      <c r="J193" s="66">
        <f t="shared" si="24"/>
        <v>162616.91300090292</v>
      </c>
      <c r="K193" s="66">
        <f>IF(N192=0,0,IF(N192&lt;BondCalculator!$B$12+BondCalculator!$B$7,N192+L193,BondCalculator!$B$12+BondCalculator!$B$7))</f>
        <v>21759.39962294191</v>
      </c>
      <c r="L193" s="66">
        <f>J193*BondCalculator!$B$5/12</f>
        <v>982.4771827137884</v>
      </c>
      <c r="M193" s="66">
        <f t="shared" si="25"/>
        <v>20776.92244022812</v>
      </c>
      <c r="N193" s="66">
        <f t="shared" si="18"/>
        <v>141839.9905606748</v>
      </c>
      <c r="P193" s="66">
        <f t="shared" si="19"/>
        <v>4243.785176787067</v>
      </c>
      <c r="Q193" s="67">
        <f>-PV(BondCalculator!$B$9/12,B193,0,1,0)</f>
        <v>0.3876575674747083</v>
      </c>
      <c r="S193" s="68">
        <f t="shared" si="20"/>
        <v>1645.1354385184993</v>
      </c>
    </row>
    <row r="194" spans="1:19" ht="15" customHeight="1">
      <c r="A194" s="63" t="s">
        <v>110</v>
      </c>
      <c r="B194" s="74">
        <v>191</v>
      </c>
      <c r="C194" s="64">
        <f t="shared" si="26"/>
        <v>850503.391205666</v>
      </c>
      <c r="D194" s="64">
        <f>IF(G193=0,0,IF(G193&lt;BondCalculator!$B$12,G193+E194,BondCalculator!$B$12))</f>
        <v>19759.39962294191</v>
      </c>
      <c r="E194" s="64">
        <f>C194*BondCalculator!$B$5/12</f>
        <v>5138.457988534232</v>
      </c>
      <c r="F194" s="64">
        <f t="shared" si="21"/>
        <v>14620.941634407678</v>
      </c>
      <c r="G194" s="64">
        <f t="shared" si="22"/>
        <v>835882.4495712583</v>
      </c>
      <c r="H194" s="76">
        <f t="shared" si="23"/>
        <v>0.3343529798285033</v>
      </c>
      <c r="J194" s="66">
        <f t="shared" si="24"/>
        <v>141839.9905606748</v>
      </c>
      <c r="K194" s="66">
        <f>IF(N193=0,0,IF(N193&lt;BondCalculator!$B$12+BondCalculator!$B$7,N193+L194,BondCalculator!$B$12+BondCalculator!$B$7))</f>
        <v>21759.39962294191</v>
      </c>
      <c r="L194" s="66">
        <f>J194*BondCalculator!$B$5/12</f>
        <v>856.9499429707436</v>
      </c>
      <c r="M194" s="66">
        <f t="shared" si="25"/>
        <v>20902.449679971167</v>
      </c>
      <c r="N194" s="66">
        <f t="shared" si="18"/>
        <v>120937.54088070364</v>
      </c>
      <c r="P194" s="66">
        <f t="shared" si="19"/>
        <v>4281.508045563488</v>
      </c>
      <c r="Q194" s="67">
        <f>-PV(BondCalculator!$B$9/12,B194,0,1,0)</f>
        <v>0.38572892286040633</v>
      </c>
      <c r="S194" s="68">
        <f t="shared" si="20"/>
        <v>1651.5014866333677</v>
      </c>
    </row>
    <row r="195" spans="1:19" ht="15" customHeight="1">
      <c r="A195" s="63" t="s">
        <v>110</v>
      </c>
      <c r="B195" s="74">
        <v>192</v>
      </c>
      <c r="C195" s="64">
        <f t="shared" si="26"/>
        <v>835882.4495712583</v>
      </c>
      <c r="D195" s="64">
        <f>IF(G194=0,0,IF(G194&lt;BondCalculator!$B$12,G194+E195,BondCalculator!$B$12))</f>
        <v>19759.39962294191</v>
      </c>
      <c r="E195" s="64">
        <f>C195*BondCalculator!$B$5/12</f>
        <v>5050.123132826352</v>
      </c>
      <c r="F195" s="64">
        <f t="shared" si="21"/>
        <v>14709.276490115557</v>
      </c>
      <c r="G195" s="64">
        <f t="shared" si="22"/>
        <v>821173.1730811427</v>
      </c>
      <c r="H195" s="76">
        <f t="shared" si="23"/>
        <v>0.32846926923245706</v>
      </c>
      <c r="J195" s="66">
        <f t="shared" si="24"/>
        <v>120937.54088070364</v>
      </c>
      <c r="K195" s="66">
        <f>IF(N194=0,0,IF(N194&lt;BondCalculator!$B$12+BondCalculator!$B$7,N194+L195,BondCalculator!$B$12+BondCalculator!$B$7))</f>
        <v>21759.39962294191</v>
      </c>
      <c r="L195" s="66">
        <f>J195*BondCalculator!$B$5/12</f>
        <v>730.6643094875844</v>
      </c>
      <c r="M195" s="66">
        <f t="shared" si="25"/>
        <v>21028.735313454326</v>
      </c>
      <c r="N195" s="66">
        <f t="shared" si="18"/>
        <v>99908.80556724932</v>
      </c>
      <c r="P195" s="66">
        <f t="shared" si="19"/>
        <v>4319.458823338768</v>
      </c>
      <c r="Q195" s="67">
        <f>-PV(BondCalculator!$B$9/12,B195,0,1,0)</f>
        <v>0.38380987349294166</v>
      </c>
      <c r="S195" s="68">
        <f t="shared" si="20"/>
        <v>1657.850944543623</v>
      </c>
    </row>
    <row r="196" spans="1:19" ht="15" customHeight="1">
      <c r="A196" s="63" t="s">
        <v>111</v>
      </c>
      <c r="B196" s="74">
        <v>193</v>
      </c>
      <c r="C196" s="64">
        <f t="shared" si="26"/>
        <v>821173.1730811427</v>
      </c>
      <c r="D196" s="64">
        <f>IF(G195=0,0,IF(G195&lt;BondCalculator!$B$12,G195+E196,BondCalculator!$B$12))</f>
        <v>19759.39962294191</v>
      </c>
      <c r="E196" s="64">
        <f>C196*BondCalculator!$B$5/12</f>
        <v>4961.254587365237</v>
      </c>
      <c r="F196" s="64">
        <f t="shared" si="21"/>
        <v>14798.145035576672</v>
      </c>
      <c r="G196" s="64">
        <f t="shared" si="22"/>
        <v>806375.028045566</v>
      </c>
      <c r="H196" s="76">
        <f t="shared" si="23"/>
        <v>0.3225500112182264</v>
      </c>
      <c r="J196" s="66">
        <f t="shared" si="24"/>
        <v>99908.80556724932</v>
      </c>
      <c r="K196" s="66">
        <f>IF(N195=0,0,IF(N195&lt;BondCalculator!$B$12+BondCalculator!$B$7,N195+L196,BondCalculator!$B$12+BondCalculator!$B$7))</f>
        <v>21759.39962294191</v>
      </c>
      <c r="L196" s="66">
        <f>J196*BondCalculator!$B$5/12</f>
        <v>603.6157003021312</v>
      </c>
      <c r="M196" s="66">
        <f t="shared" si="25"/>
        <v>21155.783922639777</v>
      </c>
      <c r="N196" s="66">
        <f aca="true" t="shared" si="27" ref="N196:N243">J196-M196</f>
        <v>78753.02164460954</v>
      </c>
      <c r="P196" s="66">
        <f aca="true" t="shared" si="28" ref="P196:P243">E196-L196</f>
        <v>4357.638887063105</v>
      </c>
      <c r="Q196" s="67">
        <f>-PV(BondCalculator!$B$9/12,B196,0,1,0)</f>
        <v>0.3819003716347678</v>
      </c>
      <c r="S196" s="68">
        <f aca="true" t="shared" si="29" ref="S196:S259">P196*Q196</f>
        <v>1664.183910419516</v>
      </c>
    </row>
    <row r="197" spans="1:19" ht="15" customHeight="1">
      <c r="A197" s="63" t="s">
        <v>111</v>
      </c>
      <c r="B197" s="74">
        <v>194</v>
      </c>
      <c r="C197" s="64">
        <f t="shared" si="26"/>
        <v>806375.028045566</v>
      </c>
      <c r="D197" s="64">
        <f>IF(G196=0,0,IF(G196&lt;BondCalculator!$B$12,G196+E197,BondCalculator!$B$12))</f>
        <v>19759.39962294191</v>
      </c>
      <c r="E197" s="64">
        <f>C197*BondCalculator!$B$5/12</f>
        <v>4871.849127775295</v>
      </c>
      <c r="F197" s="64">
        <f aca="true" t="shared" si="30" ref="F197:F243">D197-E197</f>
        <v>14887.550495166615</v>
      </c>
      <c r="G197" s="64">
        <f aca="true" t="shared" si="31" ref="G197:G260">IF(ROUND(C197-F197,2)=0,0,C197-F197)</f>
        <v>791487.4775503995</v>
      </c>
      <c r="H197" s="76">
        <f aca="true" t="shared" si="32" ref="H197:H260">IF($C$4=0,0,G197/$C$4)</f>
        <v>0.3165949910201598</v>
      </c>
      <c r="J197" s="66">
        <f aca="true" t="shared" si="33" ref="J197:J243">IF(ROUND(N196,0)&gt;0,N196,0)</f>
        <v>78753.02164460954</v>
      </c>
      <c r="K197" s="66">
        <f>IF(N196=0,0,IF(N196&lt;BondCalculator!$B$12+BondCalculator!$B$7,N196+L197,BondCalculator!$B$12+BondCalculator!$B$7))</f>
        <v>21759.39962294191</v>
      </c>
      <c r="L197" s="66">
        <f>J197*BondCalculator!$B$5/12</f>
        <v>475.799505769516</v>
      </c>
      <c r="M197" s="66">
        <f aca="true" t="shared" si="34" ref="M197:M243">IF(K197-L197&gt;N196,N196,K197-L197)</f>
        <v>21283.600117172395</v>
      </c>
      <c r="N197" s="66">
        <f t="shared" si="27"/>
        <v>57469.42152743715</v>
      </c>
      <c r="P197" s="66">
        <f t="shared" si="28"/>
        <v>4396.0496220057785</v>
      </c>
      <c r="Q197" s="67">
        <f>-PV(BondCalculator!$B$9/12,B197,0,1,0)</f>
        <v>0.38000036978583873</v>
      </c>
      <c r="S197" s="68">
        <f t="shared" si="29"/>
        <v>1670.5004819590924</v>
      </c>
    </row>
    <row r="198" spans="1:19" ht="15" customHeight="1">
      <c r="A198" s="63" t="s">
        <v>111</v>
      </c>
      <c r="B198" s="74">
        <v>195</v>
      </c>
      <c r="C198" s="64">
        <f aca="true" t="shared" si="35" ref="C198:C261">G197</f>
        <v>791487.4775503995</v>
      </c>
      <c r="D198" s="64">
        <f>IF(G197=0,0,IF(G197&lt;BondCalculator!$B$12,G197+E198,BondCalculator!$B$12))</f>
        <v>19759.39962294191</v>
      </c>
      <c r="E198" s="64">
        <f>C198*BondCalculator!$B$5/12</f>
        <v>4781.90351020033</v>
      </c>
      <c r="F198" s="64">
        <f t="shared" si="30"/>
        <v>14977.49611274158</v>
      </c>
      <c r="G198" s="64">
        <f t="shared" si="31"/>
        <v>776509.981437658</v>
      </c>
      <c r="H198" s="76">
        <f t="shared" si="32"/>
        <v>0.31060399257506316</v>
      </c>
      <c r="J198" s="66">
        <f t="shared" si="33"/>
        <v>57469.42152743715</v>
      </c>
      <c r="K198" s="66">
        <f>IF(N197=0,0,IF(N197&lt;BondCalculator!$B$12+BondCalculator!$B$7,N197+L198,BondCalculator!$B$12+BondCalculator!$B$7))</f>
        <v>21759.39962294191</v>
      </c>
      <c r="L198" s="66">
        <f>J198*BondCalculator!$B$5/12</f>
        <v>347.2110883949328</v>
      </c>
      <c r="M198" s="66">
        <f t="shared" si="34"/>
        <v>21412.18853454698</v>
      </c>
      <c r="N198" s="66">
        <f t="shared" si="27"/>
        <v>36057.232992890175</v>
      </c>
      <c r="P198" s="66">
        <f t="shared" si="28"/>
        <v>4434.692421805397</v>
      </c>
      <c r="Q198" s="67">
        <f>-PV(BondCalculator!$B$9/12,B198,0,1,0)</f>
        <v>0.37810982068242655</v>
      </c>
      <c r="S198" s="68">
        <f t="shared" si="29"/>
        <v>1676.8007563905546</v>
      </c>
    </row>
    <row r="199" spans="1:19" ht="15" customHeight="1">
      <c r="A199" s="63" t="s">
        <v>111</v>
      </c>
      <c r="B199" s="74">
        <v>196</v>
      </c>
      <c r="C199" s="64">
        <f t="shared" si="35"/>
        <v>776509.981437658</v>
      </c>
      <c r="D199" s="64">
        <f>IF(G198=0,0,IF(G198&lt;BondCalculator!$B$12,G198+E199,BondCalculator!$B$12))</f>
        <v>19759.39962294191</v>
      </c>
      <c r="E199" s="64">
        <f>C199*BondCalculator!$B$5/12</f>
        <v>4691.41447118585</v>
      </c>
      <c r="F199" s="64">
        <f t="shared" si="30"/>
        <v>15067.98515175606</v>
      </c>
      <c r="G199" s="64">
        <f t="shared" si="31"/>
        <v>761441.9962859019</v>
      </c>
      <c r="H199" s="76">
        <f t="shared" si="32"/>
        <v>0.30457679851436076</v>
      </c>
      <c r="J199" s="66">
        <f t="shared" si="33"/>
        <v>36057.232992890175</v>
      </c>
      <c r="K199" s="66">
        <f>IF(N198=0,0,IF(N198&lt;BondCalculator!$B$12+BondCalculator!$B$7,N198+L199,BondCalculator!$B$12+BondCalculator!$B$7))</f>
        <v>21759.39962294191</v>
      </c>
      <c r="L199" s="66">
        <f>J199*BondCalculator!$B$5/12</f>
        <v>217.84578266537812</v>
      </c>
      <c r="M199" s="66">
        <f t="shared" si="34"/>
        <v>21541.55384027653</v>
      </c>
      <c r="N199" s="66">
        <f t="shared" si="27"/>
        <v>14515.679152613644</v>
      </c>
      <c r="P199" s="66">
        <f t="shared" si="28"/>
        <v>4473.568688520471</v>
      </c>
      <c r="Q199" s="67">
        <f>-PV(BondCalculator!$B$9/12,B199,0,1,0)</f>
        <v>0.37622867729594694</v>
      </c>
      <c r="S199" s="68">
        <f t="shared" si="29"/>
        <v>1683.084830474621</v>
      </c>
    </row>
    <row r="200" spans="1:19" ht="15" customHeight="1">
      <c r="A200" s="63" t="s">
        <v>111</v>
      </c>
      <c r="B200" s="74">
        <v>197</v>
      </c>
      <c r="C200" s="64">
        <f t="shared" si="35"/>
        <v>761441.9962859019</v>
      </c>
      <c r="D200" s="64">
        <f>IF(G199=0,0,IF(G199&lt;BondCalculator!$B$12,G199+E200,BondCalculator!$B$12))</f>
        <v>19759.39962294191</v>
      </c>
      <c r="E200" s="64">
        <f>C200*BondCalculator!$B$5/12</f>
        <v>4600.378727560656</v>
      </c>
      <c r="F200" s="64">
        <f t="shared" si="30"/>
        <v>15159.020895381254</v>
      </c>
      <c r="G200" s="64">
        <f t="shared" si="31"/>
        <v>746282.9753905206</v>
      </c>
      <c r="H200" s="76">
        <f t="shared" si="32"/>
        <v>0.29851319015620825</v>
      </c>
      <c r="J200" s="66">
        <f t="shared" si="33"/>
        <v>14515.679152613644</v>
      </c>
      <c r="K200" s="66">
        <f>IF(N199=0,0,IF(N199&lt;BondCalculator!$B$12+BondCalculator!$B$7,N199+L200,BondCalculator!$B$12+BondCalculator!$B$7))</f>
        <v>14603.378047494018</v>
      </c>
      <c r="L200" s="66">
        <f>J200*BondCalculator!$B$5/12</f>
        <v>87.6988948803741</v>
      </c>
      <c r="M200" s="66">
        <f t="shared" si="34"/>
        <v>14515.679152613644</v>
      </c>
      <c r="N200" s="66">
        <f t="shared" si="27"/>
        <v>0</v>
      </c>
      <c r="P200" s="66">
        <f t="shared" si="28"/>
        <v>4512.679832680283</v>
      </c>
      <c r="Q200" s="67">
        <f>-PV(BondCalculator!$B$9/12,B200,0,1,0)</f>
        <v>0.37435689283178814</v>
      </c>
      <c r="S200" s="68">
        <f t="shared" si="29"/>
        <v>1689.3528005068642</v>
      </c>
    </row>
    <row r="201" spans="1:19" ht="15" customHeight="1">
      <c r="A201" s="63" t="s">
        <v>111</v>
      </c>
      <c r="B201" s="74">
        <v>198</v>
      </c>
      <c r="C201" s="64">
        <f t="shared" si="35"/>
        <v>746282.9753905206</v>
      </c>
      <c r="D201" s="64">
        <f>IF(G200=0,0,IF(G200&lt;BondCalculator!$B$12,G200+E201,BondCalculator!$B$12))</f>
        <v>19759.39962294191</v>
      </c>
      <c r="E201" s="64">
        <f>C201*BondCalculator!$B$5/12</f>
        <v>4508.792976317728</v>
      </c>
      <c r="F201" s="64">
        <f t="shared" si="30"/>
        <v>15250.606646624183</v>
      </c>
      <c r="G201" s="64">
        <f t="shared" si="31"/>
        <v>731032.3687438965</v>
      </c>
      <c r="H201" s="76">
        <f t="shared" si="32"/>
        <v>0.2924129474975586</v>
      </c>
      <c r="J201" s="66">
        <f t="shared" si="33"/>
        <v>0</v>
      </c>
      <c r="K201" s="66">
        <f>IF(N200=0,0,IF(N200&lt;BondCalculator!$B$12+BondCalculator!$B$7,N200+L201,BondCalculator!$B$12+BondCalculator!$B$7))</f>
        <v>0</v>
      </c>
      <c r="L201" s="66">
        <f>J201*BondCalculator!$B$5/12</f>
        <v>0</v>
      </c>
      <c r="M201" s="66">
        <f t="shared" si="34"/>
        <v>0</v>
      </c>
      <c r="N201" s="66">
        <f t="shared" si="27"/>
        <v>0</v>
      </c>
      <c r="P201" s="66">
        <f t="shared" si="28"/>
        <v>4508.792976317728</v>
      </c>
      <c r="Q201" s="67">
        <f>-PV(BondCalculator!$B$9/12,B201,0,1,0)</f>
        <v>0.3724944207281474</v>
      </c>
      <c r="S201" s="68">
        <f t="shared" si="29"/>
        <v>1679.500227896612</v>
      </c>
    </row>
    <row r="202" spans="1:19" ht="15" customHeight="1">
      <c r="A202" s="63" t="s">
        <v>111</v>
      </c>
      <c r="B202" s="74">
        <v>199</v>
      </c>
      <c r="C202" s="64">
        <f t="shared" si="35"/>
        <v>731032.3687438965</v>
      </c>
      <c r="D202" s="64">
        <f>IF(G201=0,0,IF(G201&lt;BondCalculator!$B$12,G201+E202,BondCalculator!$B$12))</f>
        <v>19759.39962294191</v>
      </c>
      <c r="E202" s="64">
        <f>C202*BondCalculator!$B$5/12</f>
        <v>4416.653894494374</v>
      </c>
      <c r="F202" s="64">
        <f t="shared" si="30"/>
        <v>15342.745728447535</v>
      </c>
      <c r="G202" s="64">
        <f t="shared" si="31"/>
        <v>715689.6230154489</v>
      </c>
      <c r="H202" s="76">
        <f t="shared" si="32"/>
        <v>0.28627584920617954</v>
      </c>
      <c r="J202" s="66">
        <f t="shared" si="33"/>
        <v>0</v>
      </c>
      <c r="K202" s="66">
        <f>IF(N201=0,0,IF(N201&lt;BondCalculator!$B$12+BondCalculator!$B$7,N201+L202,BondCalculator!$B$12+BondCalculator!$B$7))</f>
        <v>0</v>
      </c>
      <c r="L202" s="66">
        <f>J202*BondCalculator!$B$5/12</f>
        <v>0</v>
      </c>
      <c r="M202" s="66">
        <f t="shared" si="34"/>
        <v>0</v>
      </c>
      <c r="N202" s="66">
        <f t="shared" si="27"/>
        <v>0</v>
      </c>
      <c r="P202" s="66">
        <f t="shared" si="28"/>
        <v>4416.653894494374</v>
      </c>
      <c r="Q202" s="67">
        <f>-PV(BondCalculator!$B$9/12,B202,0,1,0)</f>
        <v>0.3706412146548731</v>
      </c>
      <c r="S202" s="68">
        <f t="shared" si="29"/>
        <v>1636.9939641655706</v>
      </c>
    </row>
    <row r="203" spans="1:19" ht="15" customHeight="1">
      <c r="A203" s="63" t="s">
        <v>111</v>
      </c>
      <c r="B203" s="74">
        <v>200</v>
      </c>
      <c r="C203" s="64">
        <f t="shared" si="35"/>
        <v>715689.6230154489</v>
      </c>
      <c r="D203" s="64">
        <f>IF(G202=0,0,IF(G202&lt;BondCalculator!$B$12,G202+E203,BondCalculator!$B$12))</f>
        <v>19759.39962294191</v>
      </c>
      <c r="E203" s="64">
        <f>C203*BondCalculator!$B$5/12</f>
        <v>4323.9581390516705</v>
      </c>
      <c r="F203" s="64">
        <f t="shared" si="30"/>
        <v>15435.44148389024</v>
      </c>
      <c r="G203" s="64">
        <f t="shared" si="31"/>
        <v>700254.1815315586</v>
      </c>
      <c r="H203" s="76">
        <f t="shared" si="32"/>
        <v>0.2801016726126235</v>
      </c>
      <c r="J203" s="66">
        <f t="shared" si="33"/>
        <v>0</v>
      </c>
      <c r="K203" s="66">
        <f>IF(N202=0,0,IF(N202&lt;BondCalculator!$B$12+BondCalculator!$B$7,N202+L203,BondCalculator!$B$12+BondCalculator!$B$7))</f>
        <v>0</v>
      </c>
      <c r="L203" s="66">
        <f>J203*BondCalculator!$B$5/12</f>
        <v>0</v>
      </c>
      <c r="M203" s="66">
        <f t="shared" si="34"/>
        <v>0</v>
      </c>
      <c r="N203" s="66">
        <f t="shared" si="27"/>
        <v>0</v>
      </c>
      <c r="P203" s="66">
        <f t="shared" si="28"/>
        <v>4323.9581390516705</v>
      </c>
      <c r="Q203" s="67">
        <f>-PV(BondCalculator!$B$9/12,B203,0,1,0)</f>
        <v>0.36879722851231156</v>
      </c>
      <c r="S203" s="68">
        <f t="shared" si="29"/>
        <v>1594.6637778855084</v>
      </c>
    </row>
    <row r="204" spans="1:19" ht="15" customHeight="1">
      <c r="A204" s="63" t="s">
        <v>111</v>
      </c>
      <c r="B204" s="74">
        <v>201</v>
      </c>
      <c r="C204" s="64">
        <f t="shared" si="35"/>
        <v>700254.1815315586</v>
      </c>
      <c r="D204" s="64">
        <f>IF(G203=0,0,IF(G203&lt;BondCalculator!$B$12,G203+E204,BondCalculator!$B$12))</f>
        <v>19759.39962294191</v>
      </c>
      <c r="E204" s="64">
        <f>C204*BondCalculator!$B$5/12</f>
        <v>4230.702346753166</v>
      </c>
      <c r="F204" s="64">
        <f t="shared" si="30"/>
        <v>15528.697276188745</v>
      </c>
      <c r="G204" s="64">
        <f t="shared" si="31"/>
        <v>684725.4842553699</v>
      </c>
      <c r="H204" s="76">
        <f t="shared" si="32"/>
        <v>0.27389019370214795</v>
      </c>
      <c r="J204" s="66">
        <f t="shared" si="33"/>
        <v>0</v>
      </c>
      <c r="K204" s="66">
        <f>IF(N203=0,0,IF(N203&lt;BondCalculator!$B$12+BondCalculator!$B$7,N203+L204,BondCalculator!$B$12+BondCalculator!$B$7))</f>
        <v>0</v>
      </c>
      <c r="L204" s="66">
        <f>J204*BondCalculator!$B$5/12</f>
        <v>0</v>
      </c>
      <c r="M204" s="66">
        <f t="shared" si="34"/>
        <v>0</v>
      </c>
      <c r="N204" s="66">
        <f t="shared" si="27"/>
        <v>0</v>
      </c>
      <c r="P204" s="66">
        <f t="shared" si="28"/>
        <v>4230.702346753166</v>
      </c>
      <c r="Q204" s="67">
        <f>-PV(BondCalculator!$B$9/12,B204,0,1,0)</f>
        <v>0.36696241643016075</v>
      </c>
      <c r="S204" s="68">
        <f t="shared" si="29"/>
        <v>1552.5087563612938</v>
      </c>
    </row>
    <row r="205" spans="1:19" ht="15" customHeight="1">
      <c r="A205" s="63" t="s">
        <v>111</v>
      </c>
      <c r="B205" s="74">
        <v>202</v>
      </c>
      <c r="C205" s="64">
        <f t="shared" si="35"/>
        <v>684725.4842553699</v>
      </c>
      <c r="D205" s="64">
        <f>IF(G204=0,0,IF(G204&lt;BondCalculator!$B$12,G204+E205,BondCalculator!$B$12))</f>
        <v>19759.39962294191</v>
      </c>
      <c r="E205" s="64">
        <f>C205*BondCalculator!$B$5/12</f>
        <v>4136.88313404286</v>
      </c>
      <c r="F205" s="64">
        <f t="shared" si="30"/>
        <v>15622.516488899051</v>
      </c>
      <c r="G205" s="64">
        <f t="shared" si="31"/>
        <v>669102.9677664709</v>
      </c>
      <c r="H205" s="76">
        <f t="shared" si="32"/>
        <v>0.26764118710658835</v>
      </c>
      <c r="J205" s="66">
        <f t="shared" si="33"/>
        <v>0</v>
      </c>
      <c r="K205" s="66">
        <f>IF(N204=0,0,IF(N204&lt;BondCalculator!$B$12+BondCalculator!$B$7,N204+L205,BondCalculator!$B$12+BondCalculator!$B$7))</f>
        <v>0</v>
      </c>
      <c r="L205" s="66">
        <f>J205*BondCalculator!$B$5/12</f>
        <v>0</v>
      </c>
      <c r="M205" s="66">
        <f t="shared" si="34"/>
        <v>0</v>
      </c>
      <c r="N205" s="66">
        <f t="shared" si="27"/>
        <v>0</v>
      </c>
      <c r="P205" s="66">
        <f t="shared" si="28"/>
        <v>4136.88313404286</v>
      </c>
      <c r="Q205" s="67">
        <f>-PV(BondCalculator!$B$9/12,B205,0,1,0)</f>
        <v>0.36513673276632924</v>
      </c>
      <c r="S205" s="68">
        <f t="shared" si="29"/>
        <v>1510.5279914005423</v>
      </c>
    </row>
    <row r="206" spans="1:19" ht="15" customHeight="1">
      <c r="A206" s="63" t="s">
        <v>111</v>
      </c>
      <c r="B206" s="74">
        <v>203</v>
      </c>
      <c r="C206" s="64">
        <f t="shared" si="35"/>
        <v>669102.9677664709</v>
      </c>
      <c r="D206" s="64">
        <f>IF(G205=0,0,IF(G205&lt;BondCalculator!$B$12,G205+E206,BondCalculator!$B$12))</f>
        <v>19759.39962294191</v>
      </c>
      <c r="E206" s="64">
        <f>C206*BondCalculator!$B$5/12</f>
        <v>4042.497096922428</v>
      </c>
      <c r="F206" s="64">
        <f t="shared" si="30"/>
        <v>15716.902526019481</v>
      </c>
      <c r="G206" s="64">
        <f t="shared" si="31"/>
        <v>653386.0652404514</v>
      </c>
      <c r="H206" s="76">
        <f t="shared" si="32"/>
        <v>0.26135442609618054</v>
      </c>
      <c r="J206" s="66">
        <f t="shared" si="33"/>
        <v>0</v>
      </c>
      <c r="K206" s="66">
        <f>IF(N205=0,0,IF(N205&lt;BondCalculator!$B$12+BondCalculator!$B$7,N205+L206,BondCalculator!$B$12+BondCalculator!$B$7))</f>
        <v>0</v>
      </c>
      <c r="L206" s="66">
        <f>J206*BondCalculator!$B$5/12</f>
        <v>0</v>
      </c>
      <c r="M206" s="66">
        <f t="shared" si="34"/>
        <v>0</v>
      </c>
      <c r="N206" s="66">
        <f t="shared" si="27"/>
        <v>0</v>
      </c>
      <c r="P206" s="66">
        <f t="shared" si="28"/>
        <v>4042.497096922428</v>
      </c>
      <c r="Q206" s="67">
        <f>-PV(BondCalculator!$B$9/12,B206,0,1,0)</f>
        <v>0.3633201321058003</v>
      </c>
      <c r="S206" s="68">
        <f t="shared" si="29"/>
        <v>1468.7205792911707</v>
      </c>
    </row>
    <row r="207" spans="1:19" ht="15" customHeight="1">
      <c r="A207" s="63" t="s">
        <v>111</v>
      </c>
      <c r="B207" s="74">
        <v>204</v>
      </c>
      <c r="C207" s="64">
        <f t="shared" si="35"/>
        <v>653386.0652404514</v>
      </c>
      <c r="D207" s="64">
        <f>IF(G206=0,0,IF(G206&lt;BondCalculator!$B$12,G206+E207,BondCalculator!$B$12))</f>
        <v>19759.39962294191</v>
      </c>
      <c r="E207" s="64">
        <f>C207*BondCalculator!$B$5/12</f>
        <v>3947.5408108277265</v>
      </c>
      <c r="F207" s="64">
        <f t="shared" si="30"/>
        <v>15811.858812114184</v>
      </c>
      <c r="G207" s="64">
        <f t="shared" si="31"/>
        <v>637574.2064283371</v>
      </c>
      <c r="H207" s="76">
        <f t="shared" si="32"/>
        <v>0.25502968257133485</v>
      </c>
      <c r="J207" s="66">
        <f t="shared" si="33"/>
        <v>0</v>
      </c>
      <c r="K207" s="66">
        <f>IF(N206=0,0,IF(N206&lt;BondCalculator!$B$12+BondCalculator!$B$7,N206+L207,BondCalculator!$B$12+BondCalculator!$B$7))</f>
        <v>0</v>
      </c>
      <c r="L207" s="66">
        <f>J207*BondCalculator!$B$5/12</f>
        <v>0</v>
      </c>
      <c r="M207" s="66">
        <f t="shared" si="34"/>
        <v>0</v>
      </c>
      <c r="N207" s="66">
        <f t="shared" si="27"/>
        <v>0</v>
      </c>
      <c r="P207" s="66">
        <f t="shared" si="28"/>
        <v>3947.5408108277265</v>
      </c>
      <c r="Q207" s="67">
        <f>-PV(BondCalculator!$B$9/12,B207,0,1,0)</f>
        <v>0.36151256925950287</v>
      </c>
      <c r="S207" s="68">
        <f t="shared" si="29"/>
        <v>1427.0856207790725</v>
      </c>
    </row>
    <row r="208" spans="1:19" ht="15" customHeight="1">
      <c r="A208" s="63" t="s">
        <v>112</v>
      </c>
      <c r="B208" s="74">
        <v>205</v>
      </c>
      <c r="C208" s="64">
        <f t="shared" si="35"/>
        <v>637574.2064283371</v>
      </c>
      <c r="D208" s="64">
        <f>IF(G207=0,0,IF(G207&lt;BondCalculator!$B$12,G207+E208,BondCalculator!$B$12))</f>
        <v>19759.39962294191</v>
      </c>
      <c r="E208" s="64">
        <f>C208*BondCalculator!$B$5/12</f>
        <v>3852.0108305045364</v>
      </c>
      <c r="F208" s="64">
        <f t="shared" si="30"/>
        <v>15907.388792437374</v>
      </c>
      <c r="G208" s="64">
        <f t="shared" si="31"/>
        <v>621666.8176358998</v>
      </c>
      <c r="H208" s="76">
        <f t="shared" si="32"/>
        <v>0.2486667270543599</v>
      </c>
      <c r="J208" s="66">
        <f t="shared" si="33"/>
        <v>0</v>
      </c>
      <c r="K208" s="66">
        <f>IF(N207=0,0,IF(N207&lt;BondCalculator!$B$12+BondCalculator!$B$7,N207+L208,BondCalculator!$B$12+BondCalculator!$B$7))</f>
        <v>0</v>
      </c>
      <c r="L208" s="66">
        <f>J208*BondCalculator!$B$5/12</f>
        <v>0</v>
      </c>
      <c r="M208" s="66">
        <f t="shared" si="34"/>
        <v>0</v>
      </c>
      <c r="N208" s="66">
        <f t="shared" si="27"/>
        <v>0</v>
      </c>
      <c r="P208" s="66">
        <f t="shared" si="28"/>
        <v>3852.0108305045364</v>
      </c>
      <c r="Q208" s="67">
        <f>-PV(BondCalculator!$B$9/12,B208,0,1,0)</f>
        <v>0.3597139992631869</v>
      </c>
      <c r="S208" s="68">
        <f t="shared" si="29"/>
        <v>1385.6222210458968</v>
      </c>
    </row>
    <row r="209" spans="1:19" ht="15" customHeight="1">
      <c r="A209" s="63" t="s">
        <v>112</v>
      </c>
      <c r="B209" s="74">
        <v>206</v>
      </c>
      <c r="C209" s="64">
        <f t="shared" si="35"/>
        <v>621666.8176358998</v>
      </c>
      <c r="D209" s="64">
        <f>IF(G208=0,0,IF(G208&lt;BondCalculator!$B$12,G208+E209,BondCalculator!$B$12))</f>
        <v>19759.39962294191</v>
      </c>
      <c r="E209" s="64">
        <f>C209*BondCalculator!$B$5/12</f>
        <v>3755.9036898835607</v>
      </c>
      <c r="F209" s="64">
        <f t="shared" si="30"/>
        <v>16003.49593305835</v>
      </c>
      <c r="G209" s="64">
        <f t="shared" si="31"/>
        <v>605663.3217028414</v>
      </c>
      <c r="H209" s="76">
        <f t="shared" si="32"/>
        <v>0.24226532868113657</v>
      </c>
      <c r="J209" s="66">
        <f t="shared" si="33"/>
        <v>0</v>
      </c>
      <c r="K209" s="66">
        <f>IF(N208=0,0,IF(N208&lt;BondCalculator!$B$12+BondCalculator!$B$7,N208+L209,BondCalculator!$B$12+BondCalculator!$B$7))</f>
        <v>0</v>
      </c>
      <c r="L209" s="66">
        <f>J209*BondCalculator!$B$5/12</f>
        <v>0</v>
      </c>
      <c r="M209" s="66">
        <f t="shared" si="34"/>
        <v>0</v>
      </c>
      <c r="N209" s="66">
        <f t="shared" si="27"/>
        <v>0</v>
      </c>
      <c r="P209" s="66">
        <f t="shared" si="28"/>
        <v>3755.9036898835607</v>
      </c>
      <c r="Q209" s="67">
        <f>-PV(BondCalculator!$B$9/12,B209,0,1,0)</f>
        <v>0.3579243773763055</v>
      </c>
      <c r="S209" s="68">
        <f t="shared" si="29"/>
        <v>1344.3294896869418</v>
      </c>
    </row>
    <row r="210" spans="1:19" ht="15" customHeight="1">
      <c r="A210" s="63" t="s">
        <v>112</v>
      </c>
      <c r="B210" s="74">
        <v>207</v>
      </c>
      <c r="C210" s="64">
        <f t="shared" si="35"/>
        <v>605663.3217028414</v>
      </c>
      <c r="D210" s="64">
        <f>IF(G209=0,0,IF(G209&lt;BondCalculator!$B$12,G209+E210,BondCalculator!$B$12))</f>
        <v>19759.39962294191</v>
      </c>
      <c r="E210" s="64">
        <f>C210*BondCalculator!$B$5/12</f>
        <v>3659.215901954667</v>
      </c>
      <c r="F210" s="64">
        <f t="shared" si="30"/>
        <v>16100.183720987243</v>
      </c>
      <c r="G210" s="64">
        <f t="shared" si="31"/>
        <v>589563.1379818541</v>
      </c>
      <c r="H210" s="76">
        <f t="shared" si="32"/>
        <v>0.23582525519274167</v>
      </c>
      <c r="J210" s="66">
        <f t="shared" si="33"/>
        <v>0</v>
      </c>
      <c r="K210" s="66">
        <f>IF(N209=0,0,IF(N209&lt;BondCalculator!$B$12+BondCalculator!$B$7,N209+L210,BondCalculator!$B$12+BondCalculator!$B$7))</f>
        <v>0</v>
      </c>
      <c r="L210" s="66">
        <f>J210*BondCalculator!$B$5/12</f>
        <v>0</v>
      </c>
      <c r="M210" s="66">
        <f t="shared" si="34"/>
        <v>0</v>
      </c>
      <c r="N210" s="66">
        <f t="shared" si="27"/>
        <v>0</v>
      </c>
      <c r="P210" s="66">
        <f t="shared" si="28"/>
        <v>3659.215901954667</v>
      </c>
      <c r="Q210" s="67">
        <f>-PV(BondCalculator!$B$9/12,B210,0,1,0)</f>
        <v>0.3561436590809011</v>
      </c>
      <c r="S210" s="68">
        <f t="shared" si="29"/>
        <v>1303.206540689155</v>
      </c>
    </row>
    <row r="211" spans="1:19" ht="15" customHeight="1">
      <c r="A211" s="63" t="s">
        <v>112</v>
      </c>
      <c r="B211" s="74">
        <v>208</v>
      </c>
      <c r="C211" s="64">
        <f t="shared" si="35"/>
        <v>589563.1379818541</v>
      </c>
      <c r="D211" s="64">
        <f>IF(G210=0,0,IF(G210&lt;BondCalculator!$B$12,G210+E211,BondCalculator!$B$12))</f>
        <v>19759.39962294191</v>
      </c>
      <c r="E211" s="64">
        <f>C211*BondCalculator!$B$5/12</f>
        <v>3561.9439586403682</v>
      </c>
      <c r="F211" s="64">
        <f t="shared" si="30"/>
        <v>16197.455664301542</v>
      </c>
      <c r="G211" s="64">
        <f t="shared" si="31"/>
        <v>573365.6823175526</v>
      </c>
      <c r="H211" s="76">
        <f t="shared" si="32"/>
        <v>0.22934627292702106</v>
      </c>
      <c r="J211" s="66">
        <f t="shared" si="33"/>
        <v>0</v>
      </c>
      <c r="K211" s="66">
        <f>IF(N210=0,0,IF(N210&lt;BondCalculator!$B$12+BondCalculator!$B$7,N210+L211,BondCalculator!$B$12+BondCalculator!$B$7))</f>
        <v>0</v>
      </c>
      <c r="L211" s="66">
        <f>J211*BondCalculator!$B$5/12</f>
        <v>0</v>
      </c>
      <c r="M211" s="66">
        <f t="shared" si="34"/>
        <v>0</v>
      </c>
      <c r="N211" s="66">
        <f t="shared" si="27"/>
        <v>0</v>
      </c>
      <c r="P211" s="66">
        <f t="shared" si="28"/>
        <v>3561.9439586403682</v>
      </c>
      <c r="Q211" s="67">
        <f>-PV(BondCalculator!$B$9/12,B211,0,1,0)</f>
        <v>0.3543718000804986</v>
      </c>
      <c r="S211" s="68">
        <f t="shared" si="29"/>
        <v>1262.2524924092445</v>
      </c>
    </row>
    <row r="212" spans="1:19" ht="15" customHeight="1">
      <c r="A212" s="63" t="s">
        <v>112</v>
      </c>
      <c r="B212" s="74">
        <v>209</v>
      </c>
      <c r="C212" s="64">
        <f t="shared" si="35"/>
        <v>573365.6823175526</v>
      </c>
      <c r="D212" s="64">
        <f>IF(G211=0,0,IF(G211&lt;BondCalculator!$B$12,G211+E212,BondCalculator!$B$12))</f>
        <v>19759.39962294191</v>
      </c>
      <c r="E212" s="64">
        <f>C212*BondCalculator!$B$5/12</f>
        <v>3464.084330668547</v>
      </c>
      <c r="F212" s="64">
        <f t="shared" si="30"/>
        <v>16295.315292273363</v>
      </c>
      <c r="G212" s="64">
        <f t="shared" si="31"/>
        <v>557070.3670252792</v>
      </c>
      <c r="H212" s="76">
        <f t="shared" si="32"/>
        <v>0.22282814681011168</v>
      </c>
      <c r="J212" s="66">
        <f t="shared" si="33"/>
        <v>0</v>
      </c>
      <c r="K212" s="66">
        <f>IF(N211=0,0,IF(N211&lt;BondCalculator!$B$12+BondCalculator!$B$7,N211+L212,BondCalculator!$B$12+BondCalculator!$B$7))</f>
        <v>0</v>
      </c>
      <c r="L212" s="66">
        <f>J212*BondCalculator!$B$5/12</f>
        <v>0</v>
      </c>
      <c r="M212" s="66">
        <f t="shared" si="34"/>
        <v>0</v>
      </c>
      <c r="N212" s="66">
        <f t="shared" si="27"/>
        <v>0</v>
      </c>
      <c r="P212" s="66">
        <f t="shared" si="28"/>
        <v>3464.084330668547</v>
      </c>
      <c r="Q212" s="67">
        <f>-PV(BondCalculator!$B$9/12,B212,0,1,0)</f>
        <v>0.3526087562990036</v>
      </c>
      <c r="S212" s="68">
        <f t="shared" si="29"/>
        <v>1221.4664675519027</v>
      </c>
    </row>
    <row r="213" spans="1:19" ht="15" customHeight="1">
      <c r="A213" s="63" t="s">
        <v>112</v>
      </c>
      <c r="B213" s="74">
        <v>210</v>
      </c>
      <c r="C213" s="64">
        <f t="shared" si="35"/>
        <v>557070.3670252792</v>
      </c>
      <c r="D213" s="64">
        <f>IF(G212=0,0,IF(G212&lt;BondCalculator!$B$12,G212+E213,BondCalculator!$B$12))</f>
        <v>19759.39962294191</v>
      </c>
      <c r="E213" s="64">
        <f>C213*BondCalculator!$B$5/12</f>
        <v>3365.633467444395</v>
      </c>
      <c r="F213" s="64">
        <f t="shared" si="30"/>
        <v>16393.766155497513</v>
      </c>
      <c r="G213" s="64">
        <f t="shared" si="31"/>
        <v>540676.6008697817</v>
      </c>
      <c r="H213" s="76">
        <f t="shared" si="32"/>
        <v>0.21627064034791268</v>
      </c>
      <c r="J213" s="66">
        <f t="shared" si="33"/>
        <v>0</v>
      </c>
      <c r="K213" s="66">
        <f>IF(N212=0,0,IF(N212&lt;BondCalculator!$B$12+BondCalculator!$B$7,N212+L213,BondCalculator!$B$12+BondCalculator!$B$7))</f>
        <v>0</v>
      </c>
      <c r="L213" s="66">
        <f>J213*BondCalculator!$B$5/12</f>
        <v>0</v>
      </c>
      <c r="M213" s="66">
        <f t="shared" si="34"/>
        <v>0</v>
      </c>
      <c r="N213" s="66">
        <f t="shared" si="27"/>
        <v>0</v>
      </c>
      <c r="P213" s="66">
        <f t="shared" si="28"/>
        <v>3365.633467444395</v>
      </c>
      <c r="Q213" s="67">
        <f>-PV(BondCalculator!$B$9/12,B213,0,1,0)</f>
        <v>0.3508544838796057</v>
      </c>
      <c r="S213" s="68">
        <f t="shared" si="29"/>
        <v>1180.847593148131</v>
      </c>
    </row>
    <row r="214" spans="1:19" ht="15" customHeight="1">
      <c r="A214" s="63" t="s">
        <v>112</v>
      </c>
      <c r="B214" s="74">
        <v>211</v>
      </c>
      <c r="C214" s="64">
        <f t="shared" si="35"/>
        <v>540676.6008697817</v>
      </c>
      <c r="D214" s="64">
        <f>IF(G213=0,0,IF(G213&lt;BondCalculator!$B$12,G213+E214,BondCalculator!$B$12))</f>
        <v>19759.39962294191</v>
      </c>
      <c r="E214" s="64">
        <f>C214*BondCalculator!$B$5/12</f>
        <v>3266.5877969215976</v>
      </c>
      <c r="F214" s="64">
        <f t="shared" si="30"/>
        <v>16492.811826020312</v>
      </c>
      <c r="G214" s="64">
        <f t="shared" si="31"/>
        <v>524183.7890437614</v>
      </c>
      <c r="H214" s="76">
        <f t="shared" si="32"/>
        <v>0.20967351561750455</v>
      </c>
      <c r="J214" s="66">
        <f t="shared" si="33"/>
        <v>0</v>
      </c>
      <c r="K214" s="66">
        <f>IF(N213=0,0,IF(N213&lt;BondCalculator!$B$12+BondCalculator!$B$7,N213+L214,BondCalculator!$B$12+BondCalculator!$B$7))</f>
        <v>0</v>
      </c>
      <c r="L214" s="66">
        <f>J214*BondCalculator!$B$5/12</f>
        <v>0</v>
      </c>
      <c r="M214" s="66">
        <f t="shared" si="34"/>
        <v>0</v>
      </c>
      <c r="N214" s="66">
        <f t="shared" si="27"/>
        <v>0</v>
      </c>
      <c r="P214" s="66">
        <f t="shared" si="28"/>
        <v>3266.5877969215976</v>
      </c>
      <c r="Q214" s="67">
        <f>-PV(BondCalculator!$B$9/12,B214,0,1,0)</f>
        <v>0.34910893918368724</v>
      </c>
      <c r="S214" s="68">
        <f t="shared" si="29"/>
        <v>1140.395000533677</v>
      </c>
    </row>
    <row r="215" spans="1:19" ht="15" customHeight="1">
      <c r="A215" s="63" t="s">
        <v>112</v>
      </c>
      <c r="B215" s="74">
        <v>212</v>
      </c>
      <c r="C215" s="64">
        <f t="shared" si="35"/>
        <v>524183.7890437614</v>
      </c>
      <c r="D215" s="64">
        <f>IF(G214=0,0,IF(G214&lt;BondCalculator!$B$12,G214+E215,BondCalculator!$B$12))</f>
        <v>19759.39962294191</v>
      </c>
      <c r="E215" s="64">
        <f>C215*BondCalculator!$B$5/12</f>
        <v>3166.943725472725</v>
      </c>
      <c r="F215" s="64">
        <f t="shared" si="30"/>
        <v>16592.455897469186</v>
      </c>
      <c r="G215" s="64">
        <f t="shared" si="31"/>
        <v>507591.3331462922</v>
      </c>
      <c r="H215" s="76">
        <f t="shared" si="32"/>
        <v>0.20303653325851687</v>
      </c>
      <c r="J215" s="66">
        <f t="shared" si="33"/>
        <v>0</v>
      </c>
      <c r="K215" s="66">
        <f>IF(N214=0,0,IF(N214&lt;BondCalculator!$B$12+BondCalculator!$B$7,N214+L215,BondCalculator!$B$12+BondCalculator!$B$7))</f>
        <v>0</v>
      </c>
      <c r="L215" s="66">
        <f>J215*BondCalculator!$B$5/12</f>
        <v>0</v>
      </c>
      <c r="M215" s="66">
        <f t="shared" si="34"/>
        <v>0</v>
      </c>
      <c r="N215" s="66">
        <f t="shared" si="27"/>
        <v>0</v>
      </c>
      <c r="P215" s="66">
        <f t="shared" si="28"/>
        <v>3166.943725472725</v>
      </c>
      <c r="Q215" s="67">
        <f>-PV(BondCalculator!$B$9/12,B215,0,1,0)</f>
        <v>0.34737207878973864</v>
      </c>
      <c r="S215" s="68">
        <f t="shared" si="29"/>
        <v>1100.1078253275798</v>
      </c>
    </row>
    <row r="216" spans="1:19" ht="15" customHeight="1">
      <c r="A216" s="63" t="s">
        <v>112</v>
      </c>
      <c r="B216" s="74">
        <v>213</v>
      </c>
      <c r="C216" s="64">
        <f t="shared" si="35"/>
        <v>507591.3331462922</v>
      </c>
      <c r="D216" s="64">
        <f>IF(G215=0,0,IF(G215&lt;BondCalculator!$B$12,G215+E216,BondCalculator!$B$12))</f>
        <v>19759.39962294191</v>
      </c>
      <c r="E216" s="64">
        <f>C216*BondCalculator!$B$5/12</f>
        <v>3066.6976377588485</v>
      </c>
      <c r="F216" s="64">
        <f t="shared" si="30"/>
        <v>16692.701985183063</v>
      </c>
      <c r="G216" s="64">
        <f t="shared" si="31"/>
        <v>490898.63116110914</v>
      </c>
      <c r="H216" s="76">
        <f t="shared" si="32"/>
        <v>0.19635945246444367</v>
      </c>
      <c r="J216" s="66">
        <f t="shared" si="33"/>
        <v>0</v>
      </c>
      <c r="K216" s="66">
        <f>IF(N215=0,0,IF(N215&lt;BondCalculator!$B$12+BondCalculator!$B$7,N215+L216,BondCalculator!$B$12+BondCalculator!$B$7))</f>
        <v>0</v>
      </c>
      <c r="L216" s="66">
        <f>J216*BondCalculator!$B$5/12</f>
        <v>0</v>
      </c>
      <c r="M216" s="66">
        <f t="shared" si="34"/>
        <v>0</v>
      </c>
      <c r="N216" s="66">
        <f t="shared" si="27"/>
        <v>0</v>
      </c>
      <c r="P216" s="66">
        <f t="shared" si="28"/>
        <v>3066.6976377588485</v>
      </c>
      <c r="Q216" s="67">
        <f>-PV(BondCalculator!$B$9/12,B216,0,1,0)</f>
        <v>0.3456438594922773</v>
      </c>
      <c r="S216" s="68">
        <f t="shared" si="29"/>
        <v>1059.9852074108182</v>
      </c>
    </row>
    <row r="217" spans="1:19" ht="15" customHeight="1">
      <c r="A217" s="63" t="s">
        <v>112</v>
      </c>
      <c r="B217" s="74">
        <v>214</v>
      </c>
      <c r="C217" s="64">
        <f t="shared" si="35"/>
        <v>490898.63116110914</v>
      </c>
      <c r="D217" s="64">
        <f>IF(G216=0,0,IF(G216&lt;BondCalculator!$B$12,G216+E217,BondCalculator!$B$12))</f>
        <v>19759.39962294191</v>
      </c>
      <c r="E217" s="64">
        <f>C217*BondCalculator!$B$5/12</f>
        <v>2965.8458965983677</v>
      </c>
      <c r="F217" s="64">
        <f t="shared" si="30"/>
        <v>16793.553726343544</v>
      </c>
      <c r="G217" s="64">
        <f t="shared" si="31"/>
        <v>474105.0774347656</v>
      </c>
      <c r="H217" s="76">
        <f t="shared" si="32"/>
        <v>0.18964203097390622</v>
      </c>
      <c r="J217" s="66">
        <f t="shared" si="33"/>
        <v>0</v>
      </c>
      <c r="K217" s="66">
        <f>IF(N216=0,0,IF(N216&lt;BondCalculator!$B$12+BondCalculator!$B$7,N216+L217,BondCalculator!$B$12+BondCalculator!$B$7))</f>
        <v>0</v>
      </c>
      <c r="L217" s="66">
        <f>J217*BondCalculator!$B$5/12</f>
        <v>0</v>
      </c>
      <c r="M217" s="66">
        <f t="shared" si="34"/>
        <v>0</v>
      </c>
      <c r="N217" s="66">
        <f t="shared" si="27"/>
        <v>0</v>
      </c>
      <c r="P217" s="66">
        <f t="shared" si="28"/>
        <v>2965.8458965983677</v>
      </c>
      <c r="Q217" s="67">
        <f>-PV(BondCalculator!$B$9/12,B217,0,1,0)</f>
        <v>0.34392423830077357</v>
      </c>
      <c r="S217" s="68">
        <f t="shared" si="29"/>
        <v>1020.0262909050684</v>
      </c>
    </row>
    <row r="218" spans="1:19" ht="15" customHeight="1">
      <c r="A218" s="63" t="s">
        <v>112</v>
      </c>
      <c r="B218" s="74">
        <v>215</v>
      </c>
      <c r="C218" s="64">
        <f t="shared" si="35"/>
        <v>474105.0774347656</v>
      </c>
      <c r="D218" s="64">
        <f>IF(G217=0,0,IF(G217&lt;BondCalculator!$B$12,G217+E218,BondCalculator!$B$12))</f>
        <v>19759.39962294191</v>
      </c>
      <c r="E218" s="64">
        <f>C218*BondCalculator!$B$5/12</f>
        <v>2864.3848428350416</v>
      </c>
      <c r="F218" s="64">
        <f t="shared" si="30"/>
        <v>16895.014780106867</v>
      </c>
      <c r="G218" s="64">
        <f t="shared" si="31"/>
        <v>457210.0626546587</v>
      </c>
      <c r="H218" s="76">
        <f t="shared" si="32"/>
        <v>0.18288402506186346</v>
      </c>
      <c r="J218" s="66">
        <f t="shared" si="33"/>
        <v>0</v>
      </c>
      <c r="K218" s="66">
        <f>IF(N217=0,0,IF(N217&lt;BondCalculator!$B$12+BondCalculator!$B$7,N217+L218,BondCalculator!$B$12+BondCalculator!$B$7))</f>
        <v>0</v>
      </c>
      <c r="L218" s="66">
        <f>J218*BondCalculator!$B$5/12</f>
        <v>0</v>
      </c>
      <c r="M218" s="66">
        <f t="shared" si="34"/>
        <v>0</v>
      </c>
      <c r="N218" s="66">
        <f t="shared" si="27"/>
        <v>0</v>
      </c>
      <c r="P218" s="66">
        <f t="shared" si="28"/>
        <v>2864.3848428350416</v>
      </c>
      <c r="Q218" s="67">
        <f>-PV(BondCalculator!$B$9/12,B218,0,1,0)</f>
        <v>0.34221317243858074</v>
      </c>
      <c r="S218" s="68">
        <f t="shared" si="29"/>
        <v>980.230224151565</v>
      </c>
    </row>
    <row r="219" spans="1:19" ht="15" customHeight="1">
      <c r="A219" s="63" t="s">
        <v>112</v>
      </c>
      <c r="B219" s="74">
        <v>216</v>
      </c>
      <c r="C219" s="64">
        <f t="shared" si="35"/>
        <v>457210.0626546587</v>
      </c>
      <c r="D219" s="64">
        <f>IF(G218=0,0,IF(G218&lt;BondCalculator!$B$12,G218+E219,BondCalculator!$B$12))</f>
        <v>19759.39962294191</v>
      </c>
      <c r="E219" s="64">
        <f>C219*BondCalculator!$B$5/12</f>
        <v>2762.310795205229</v>
      </c>
      <c r="F219" s="64">
        <f t="shared" si="30"/>
        <v>16997.08882773668</v>
      </c>
      <c r="G219" s="64">
        <f t="shared" si="31"/>
        <v>440212.973826922</v>
      </c>
      <c r="H219" s="76">
        <f t="shared" si="32"/>
        <v>0.1760851895307688</v>
      </c>
      <c r="J219" s="66">
        <f t="shared" si="33"/>
        <v>0</v>
      </c>
      <c r="K219" s="66">
        <f>IF(N218=0,0,IF(N218&lt;BondCalculator!$B$12+BondCalculator!$B$7,N218+L219,BondCalculator!$B$12+BondCalculator!$B$7))</f>
        <v>0</v>
      </c>
      <c r="L219" s="66">
        <f>J219*BondCalculator!$B$5/12</f>
        <v>0</v>
      </c>
      <c r="M219" s="66">
        <f t="shared" si="34"/>
        <v>0</v>
      </c>
      <c r="N219" s="66">
        <f t="shared" si="27"/>
        <v>0</v>
      </c>
      <c r="P219" s="66">
        <f t="shared" si="28"/>
        <v>2762.310795205229</v>
      </c>
      <c r="Q219" s="67">
        <f>-PV(BondCalculator!$B$9/12,B219,0,1,0)</f>
        <v>0.34051061934187127</v>
      </c>
      <c r="S219" s="68">
        <f t="shared" si="29"/>
        <v>940.5961596900695</v>
      </c>
    </row>
    <row r="220" spans="1:19" ht="15" customHeight="1">
      <c r="A220" s="63" t="s">
        <v>113</v>
      </c>
      <c r="B220" s="74">
        <v>217</v>
      </c>
      <c r="C220" s="64">
        <f t="shared" si="35"/>
        <v>440212.973826922</v>
      </c>
      <c r="D220" s="64">
        <f>IF(G219=0,0,IF(G219&lt;BondCalculator!$B$12,G219+E220,BondCalculator!$B$12))</f>
        <v>19759.39962294191</v>
      </c>
      <c r="E220" s="64">
        <f>C220*BondCalculator!$B$5/12</f>
        <v>2659.6200502043203</v>
      </c>
      <c r="F220" s="64">
        <f t="shared" si="30"/>
        <v>17099.77957273759</v>
      </c>
      <c r="G220" s="64">
        <f t="shared" si="31"/>
        <v>423113.19425418443</v>
      </c>
      <c r="H220" s="76">
        <f t="shared" si="32"/>
        <v>0.16924527770167377</v>
      </c>
      <c r="J220" s="66">
        <f t="shared" si="33"/>
        <v>0</v>
      </c>
      <c r="K220" s="66">
        <f>IF(N219=0,0,IF(N219&lt;BondCalculator!$B$12+BondCalculator!$B$7,N219+L220,BondCalculator!$B$12+BondCalculator!$B$7))</f>
        <v>0</v>
      </c>
      <c r="L220" s="66">
        <f>J220*BondCalculator!$B$5/12</f>
        <v>0</v>
      </c>
      <c r="M220" s="66">
        <f t="shared" si="34"/>
        <v>0</v>
      </c>
      <c r="N220" s="66">
        <f t="shared" si="27"/>
        <v>0</v>
      </c>
      <c r="P220" s="66">
        <f t="shared" si="28"/>
        <v>2659.6200502043203</v>
      </c>
      <c r="Q220" s="67">
        <f>-PV(BondCalculator!$B$9/12,B220,0,1,0)</f>
        <v>0.33881653665857847</v>
      </c>
      <c r="S220" s="68">
        <f t="shared" si="29"/>
        <v>901.1232542379424</v>
      </c>
    </row>
    <row r="221" spans="1:19" ht="15" customHeight="1">
      <c r="A221" s="63" t="s">
        <v>113</v>
      </c>
      <c r="B221" s="74">
        <v>218</v>
      </c>
      <c r="C221" s="64">
        <f t="shared" si="35"/>
        <v>423113.19425418443</v>
      </c>
      <c r="D221" s="64">
        <f>IF(G220=0,0,IF(G220&lt;BondCalculator!$B$12,G220+E221,BondCalculator!$B$12))</f>
        <v>19759.39962294191</v>
      </c>
      <c r="E221" s="64">
        <f>C221*BondCalculator!$B$5/12</f>
        <v>2556.308881952364</v>
      </c>
      <c r="F221" s="64">
        <f t="shared" si="30"/>
        <v>17203.090740989544</v>
      </c>
      <c r="G221" s="64">
        <f t="shared" si="31"/>
        <v>405910.1035131949</v>
      </c>
      <c r="H221" s="76">
        <f t="shared" si="32"/>
        <v>0.16236404140527796</v>
      </c>
      <c r="J221" s="66">
        <f t="shared" si="33"/>
        <v>0</v>
      </c>
      <c r="K221" s="66">
        <f>IF(N220=0,0,IF(N220&lt;BondCalculator!$B$12+BondCalculator!$B$7,N220+L221,BondCalculator!$B$12+BondCalculator!$B$7))</f>
        <v>0</v>
      </c>
      <c r="L221" s="66">
        <f>J221*BondCalculator!$B$5/12</f>
        <v>0</v>
      </c>
      <c r="M221" s="66">
        <f t="shared" si="34"/>
        <v>0</v>
      </c>
      <c r="N221" s="66">
        <f t="shared" si="27"/>
        <v>0</v>
      </c>
      <c r="P221" s="66">
        <f t="shared" si="28"/>
        <v>2556.308881952364</v>
      </c>
      <c r="Q221" s="67">
        <f>-PV(BondCalculator!$B$9/12,B221,0,1,0)</f>
        <v>0.33713088224734183</v>
      </c>
      <c r="S221" s="68">
        <f t="shared" si="29"/>
        <v>861.8106686693166</v>
      </c>
    </row>
    <row r="222" spans="1:19" ht="15" customHeight="1">
      <c r="A222" s="63" t="s">
        <v>113</v>
      </c>
      <c r="B222" s="74">
        <v>219</v>
      </c>
      <c r="C222" s="64">
        <f t="shared" si="35"/>
        <v>405910.1035131949</v>
      </c>
      <c r="D222" s="64">
        <f>IF(G221=0,0,IF(G221&lt;BondCalculator!$B$12,G221+E222,BondCalculator!$B$12))</f>
        <v>19759.39962294191</v>
      </c>
      <c r="E222" s="64">
        <f>C222*BondCalculator!$B$5/12</f>
        <v>2452.3735420588855</v>
      </c>
      <c r="F222" s="64">
        <f t="shared" si="30"/>
        <v>17307.026080883024</v>
      </c>
      <c r="G222" s="64">
        <f t="shared" si="31"/>
        <v>388603.07743231184</v>
      </c>
      <c r="H222" s="76">
        <f t="shared" si="32"/>
        <v>0.15544123097292473</v>
      </c>
      <c r="J222" s="66">
        <f t="shared" si="33"/>
        <v>0</v>
      </c>
      <c r="K222" s="66">
        <f>IF(N221=0,0,IF(N221&lt;BondCalculator!$B$12+BondCalculator!$B$7,N221+L222,BondCalculator!$B$12+BondCalculator!$B$7))</f>
        <v>0</v>
      </c>
      <c r="L222" s="66">
        <f>J222*BondCalculator!$B$5/12</f>
        <v>0</v>
      </c>
      <c r="M222" s="66">
        <f t="shared" si="34"/>
        <v>0</v>
      </c>
      <c r="N222" s="66">
        <f t="shared" si="27"/>
        <v>0</v>
      </c>
      <c r="P222" s="66">
        <f t="shared" si="28"/>
        <v>2452.3735420588855</v>
      </c>
      <c r="Q222" s="67">
        <f>-PV(BondCalculator!$B$9/12,B222,0,1,0)</f>
        <v>0.3354536141764595</v>
      </c>
      <c r="S222" s="68">
        <f t="shared" si="29"/>
        <v>822.6575679943788</v>
      </c>
    </row>
    <row r="223" spans="1:19" ht="15" customHeight="1">
      <c r="A223" s="63" t="s">
        <v>113</v>
      </c>
      <c r="B223" s="74">
        <v>220</v>
      </c>
      <c r="C223" s="64">
        <f t="shared" si="35"/>
        <v>388603.07743231184</v>
      </c>
      <c r="D223" s="64">
        <f>IF(G222=0,0,IF(G222&lt;BondCalculator!$B$12,G222+E223,BondCalculator!$B$12))</f>
        <v>19759.39962294191</v>
      </c>
      <c r="E223" s="64">
        <f>C223*BondCalculator!$B$5/12</f>
        <v>2347.8102594868838</v>
      </c>
      <c r="F223" s="64">
        <f t="shared" si="30"/>
        <v>17411.589363455027</v>
      </c>
      <c r="G223" s="64">
        <f t="shared" si="31"/>
        <v>371191.4880688568</v>
      </c>
      <c r="H223" s="76">
        <f t="shared" si="32"/>
        <v>0.14847659522754272</v>
      </c>
      <c r="J223" s="66">
        <f t="shared" si="33"/>
        <v>0</v>
      </c>
      <c r="K223" s="66">
        <f>IF(N222=0,0,IF(N222&lt;BondCalculator!$B$12+BondCalculator!$B$7,N222+L223,BondCalculator!$B$12+BondCalculator!$B$7))</f>
        <v>0</v>
      </c>
      <c r="L223" s="66">
        <f>J223*BondCalculator!$B$5/12</f>
        <v>0</v>
      </c>
      <c r="M223" s="66">
        <f t="shared" si="34"/>
        <v>0</v>
      </c>
      <c r="N223" s="66">
        <f t="shared" si="27"/>
        <v>0</v>
      </c>
      <c r="P223" s="66">
        <f t="shared" si="28"/>
        <v>2347.8102594868838</v>
      </c>
      <c r="Q223" s="67">
        <f>-PV(BondCalculator!$B$9/12,B223,0,1,0)</f>
        <v>0.3337846907228454</v>
      </c>
      <c r="S223" s="68">
        <f t="shared" si="29"/>
        <v>783.6631213387528</v>
      </c>
    </row>
    <row r="224" spans="1:19" ht="15" customHeight="1">
      <c r="A224" s="63" t="s">
        <v>113</v>
      </c>
      <c r="B224" s="74">
        <v>221</v>
      </c>
      <c r="C224" s="64">
        <f t="shared" si="35"/>
        <v>371191.4880688568</v>
      </c>
      <c r="D224" s="64">
        <f>IF(G223=0,0,IF(G223&lt;BondCalculator!$B$12,G223+E224,BondCalculator!$B$12))</f>
        <v>19759.39962294191</v>
      </c>
      <c r="E224" s="64">
        <f>C224*BondCalculator!$B$5/12</f>
        <v>2242.61524041601</v>
      </c>
      <c r="F224" s="64">
        <f t="shared" si="30"/>
        <v>17516.7843825259</v>
      </c>
      <c r="G224" s="64">
        <f t="shared" si="31"/>
        <v>353674.70368633093</v>
      </c>
      <c r="H224" s="76">
        <f t="shared" si="32"/>
        <v>0.14146988147453238</v>
      </c>
      <c r="J224" s="66">
        <f t="shared" si="33"/>
        <v>0</v>
      </c>
      <c r="K224" s="66">
        <f>IF(N223=0,0,IF(N223&lt;BondCalculator!$B$12+BondCalculator!$B$7,N223+L224,BondCalculator!$B$12+BondCalculator!$B$7))</f>
        <v>0</v>
      </c>
      <c r="L224" s="66">
        <f>J224*BondCalculator!$B$5/12</f>
        <v>0</v>
      </c>
      <c r="M224" s="66">
        <f t="shared" si="34"/>
        <v>0</v>
      </c>
      <c r="N224" s="66">
        <f t="shared" si="27"/>
        <v>0</v>
      </c>
      <c r="P224" s="66">
        <f t="shared" si="28"/>
        <v>2242.61524041601</v>
      </c>
      <c r="Q224" s="67">
        <f>-PV(BondCalculator!$B$9/12,B224,0,1,0)</f>
        <v>0.3321240703709905</v>
      </c>
      <c r="S224" s="68">
        <f t="shared" si="29"/>
        <v>744.8265019229826</v>
      </c>
    </row>
    <row r="225" spans="1:19" ht="15" customHeight="1">
      <c r="A225" s="63" t="s">
        <v>113</v>
      </c>
      <c r="B225" s="74">
        <v>222</v>
      </c>
      <c r="C225" s="64">
        <f t="shared" si="35"/>
        <v>353674.70368633093</v>
      </c>
      <c r="D225" s="64">
        <f>IF(G224=0,0,IF(G224&lt;BondCalculator!$B$12,G224+E225,BondCalculator!$B$12))</f>
        <v>19759.39962294191</v>
      </c>
      <c r="E225" s="64">
        <f>C225*BondCalculator!$B$5/12</f>
        <v>2136.784668104916</v>
      </c>
      <c r="F225" s="64">
        <f t="shared" si="30"/>
        <v>17622.614954836994</v>
      </c>
      <c r="G225" s="64">
        <f t="shared" si="31"/>
        <v>336052.0887314939</v>
      </c>
      <c r="H225" s="76">
        <f t="shared" si="32"/>
        <v>0.13442083549259756</v>
      </c>
      <c r="J225" s="66">
        <f t="shared" si="33"/>
        <v>0</v>
      </c>
      <c r="K225" s="66">
        <f>IF(N224=0,0,IF(N224&lt;BondCalculator!$B$12+BondCalculator!$B$7,N224+L225,BondCalculator!$B$12+BondCalculator!$B$7))</f>
        <v>0</v>
      </c>
      <c r="L225" s="66">
        <f>J225*BondCalculator!$B$5/12</f>
        <v>0</v>
      </c>
      <c r="M225" s="66">
        <f t="shared" si="34"/>
        <v>0</v>
      </c>
      <c r="N225" s="66">
        <f t="shared" si="27"/>
        <v>0</v>
      </c>
      <c r="P225" s="66">
        <f t="shared" si="28"/>
        <v>2136.784668104916</v>
      </c>
      <c r="Q225" s="67">
        <f>-PV(BondCalculator!$B$9/12,B225,0,1,0)</f>
        <v>0.3304717118119309</v>
      </c>
      <c r="S225" s="68">
        <f t="shared" si="29"/>
        <v>706.1468870421202</v>
      </c>
    </row>
    <row r="226" spans="1:19" ht="15" customHeight="1">
      <c r="A226" s="63" t="s">
        <v>113</v>
      </c>
      <c r="B226" s="74">
        <v>223</v>
      </c>
      <c r="C226" s="64">
        <f t="shared" si="35"/>
        <v>336052.0887314939</v>
      </c>
      <c r="D226" s="64">
        <f>IF(G225=0,0,IF(G225&lt;BondCalculator!$B$12,G225+E226,BondCalculator!$B$12))</f>
        <v>19759.39962294191</v>
      </c>
      <c r="E226" s="64">
        <f>C226*BondCalculator!$B$5/12</f>
        <v>2030.3147027527757</v>
      </c>
      <c r="F226" s="64">
        <f t="shared" si="30"/>
        <v>17729.084920189132</v>
      </c>
      <c r="G226" s="64">
        <f t="shared" si="31"/>
        <v>318323.0038113048</v>
      </c>
      <c r="H226" s="76">
        <f t="shared" si="32"/>
        <v>0.12732920152452193</v>
      </c>
      <c r="J226" s="66">
        <f t="shared" si="33"/>
        <v>0</v>
      </c>
      <c r="K226" s="66">
        <f>IF(N225=0,0,IF(N225&lt;BondCalculator!$B$12+BondCalculator!$B$7,N225+L226,BondCalculator!$B$12+BondCalculator!$B$7))</f>
        <v>0</v>
      </c>
      <c r="L226" s="66">
        <f>J226*BondCalculator!$B$5/12</f>
        <v>0</v>
      </c>
      <c r="M226" s="66">
        <f t="shared" si="34"/>
        <v>0</v>
      </c>
      <c r="N226" s="66">
        <f t="shared" si="27"/>
        <v>0</v>
      </c>
      <c r="P226" s="66">
        <f t="shared" si="28"/>
        <v>2030.3147027527757</v>
      </c>
      <c r="Q226" s="67">
        <f>-PV(BondCalculator!$B$9/12,B226,0,1,0)</f>
        <v>0.3288275739422199</v>
      </c>
      <c r="S226" s="68">
        <f t="shared" si="29"/>
        <v>667.6234580454145</v>
      </c>
    </row>
    <row r="227" spans="1:19" ht="15" customHeight="1">
      <c r="A227" s="63" t="s">
        <v>113</v>
      </c>
      <c r="B227" s="74">
        <v>224</v>
      </c>
      <c r="C227" s="64">
        <f t="shared" si="35"/>
        <v>318323.0038113048</v>
      </c>
      <c r="D227" s="64">
        <f>IF(G226=0,0,IF(G226&lt;BondCalculator!$B$12,G226+E227,BondCalculator!$B$12))</f>
        <v>19759.39962294191</v>
      </c>
      <c r="E227" s="64">
        <f>C227*BondCalculator!$B$5/12</f>
        <v>1923.2014813599665</v>
      </c>
      <c r="F227" s="64">
        <f t="shared" si="30"/>
        <v>17836.198141581943</v>
      </c>
      <c r="G227" s="64">
        <f t="shared" si="31"/>
        <v>300486.80566972285</v>
      </c>
      <c r="H227" s="76">
        <f t="shared" si="32"/>
        <v>0.12019472226788913</v>
      </c>
      <c r="J227" s="66">
        <f t="shared" si="33"/>
        <v>0</v>
      </c>
      <c r="K227" s="66">
        <f>IF(N226=0,0,IF(N226&lt;BondCalculator!$B$12+BondCalculator!$B$7,N226+L227,BondCalculator!$B$12+BondCalculator!$B$7))</f>
        <v>0</v>
      </c>
      <c r="L227" s="66">
        <f>J227*BondCalculator!$B$5/12</f>
        <v>0</v>
      </c>
      <c r="M227" s="66">
        <f t="shared" si="34"/>
        <v>0</v>
      </c>
      <c r="N227" s="66">
        <f t="shared" si="27"/>
        <v>0</v>
      </c>
      <c r="P227" s="66">
        <f t="shared" si="28"/>
        <v>1923.2014813599665</v>
      </c>
      <c r="Q227" s="67">
        <f>-PV(BondCalculator!$B$9/12,B227,0,1,0)</f>
        <v>0.3271916158629054</v>
      </c>
      <c r="S227" s="68">
        <f t="shared" si="29"/>
        <v>629.2554003161008</v>
      </c>
    </row>
    <row r="228" spans="1:19" ht="15" customHeight="1">
      <c r="A228" s="63" t="s">
        <v>113</v>
      </c>
      <c r="B228" s="74">
        <v>225</v>
      </c>
      <c r="C228" s="64">
        <f t="shared" si="35"/>
        <v>300486.80566972285</v>
      </c>
      <c r="D228" s="64">
        <f>IF(G227=0,0,IF(G227&lt;BondCalculator!$B$12,G227+E228,BondCalculator!$B$12))</f>
        <v>19759.39962294191</v>
      </c>
      <c r="E228" s="64">
        <f>C228*BondCalculator!$B$5/12</f>
        <v>1815.4411175879086</v>
      </c>
      <c r="F228" s="64">
        <f t="shared" si="30"/>
        <v>17943.958505354</v>
      </c>
      <c r="G228" s="64">
        <f t="shared" si="31"/>
        <v>282542.84716436884</v>
      </c>
      <c r="H228" s="76">
        <f t="shared" si="32"/>
        <v>0.11301713886574753</v>
      </c>
      <c r="J228" s="66">
        <f t="shared" si="33"/>
        <v>0</v>
      </c>
      <c r="K228" s="66">
        <f>IF(N227=0,0,IF(N227&lt;BondCalculator!$B$12+BondCalculator!$B$7,N227+L228,BondCalculator!$B$12+BondCalculator!$B$7))</f>
        <v>0</v>
      </c>
      <c r="L228" s="66">
        <f>J228*BondCalculator!$B$5/12</f>
        <v>0</v>
      </c>
      <c r="M228" s="66">
        <f t="shared" si="34"/>
        <v>0</v>
      </c>
      <c r="N228" s="66">
        <f t="shared" si="27"/>
        <v>0</v>
      </c>
      <c r="P228" s="66">
        <f t="shared" si="28"/>
        <v>1815.4411175879086</v>
      </c>
      <c r="Q228" s="67">
        <f>-PV(BondCalculator!$B$9/12,B228,0,1,0)</f>
        <v>0.3255637968785129</v>
      </c>
      <c r="S228" s="68">
        <f t="shared" si="29"/>
        <v>591.0419032512904</v>
      </c>
    </row>
    <row r="229" spans="1:19" ht="15" customHeight="1">
      <c r="A229" s="63" t="s">
        <v>113</v>
      </c>
      <c r="B229" s="74">
        <v>226</v>
      </c>
      <c r="C229" s="64">
        <f t="shared" si="35"/>
        <v>282542.84716436884</v>
      </c>
      <c r="D229" s="64">
        <f>IF(G228=0,0,IF(G228&lt;BondCalculator!$B$12,G228+E229,BondCalculator!$B$12))</f>
        <v>19759.39962294191</v>
      </c>
      <c r="E229" s="64">
        <f>C229*BondCalculator!$B$5/12</f>
        <v>1707.0297016180618</v>
      </c>
      <c r="F229" s="64">
        <f t="shared" si="30"/>
        <v>18052.369921323847</v>
      </c>
      <c r="G229" s="64">
        <f t="shared" si="31"/>
        <v>264490.477243045</v>
      </c>
      <c r="H229" s="76">
        <f t="shared" si="32"/>
        <v>0.10579619089721799</v>
      </c>
      <c r="J229" s="66">
        <f t="shared" si="33"/>
        <v>0</v>
      </c>
      <c r="K229" s="66">
        <f>IF(N228=0,0,IF(N228&lt;BondCalculator!$B$12+BondCalculator!$B$7,N228+L229,BondCalculator!$B$12+BondCalculator!$B$7))</f>
        <v>0</v>
      </c>
      <c r="L229" s="66">
        <f>J229*BondCalculator!$B$5/12</f>
        <v>0</v>
      </c>
      <c r="M229" s="66">
        <f t="shared" si="34"/>
        <v>0</v>
      </c>
      <c r="N229" s="66">
        <f t="shared" si="27"/>
        <v>0</v>
      </c>
      <c r="P229" s="66">
        <f t="shared" si="28"/>
        <v>1707.0297016180618</v>
      </c>
      <c r="Q229" s="67">
        <f>-PV(BondCalculator!$B$9/12,B229,0,1,0)</f>
        <v>0.32394407649603274</v>
      </c>
      <c r="S229" s="68">
        <f t="shared" si="29"/>
        <v>552.9821602419613</v>
      </c>
    </row>
    <row r="230" spans="1:19" ht="15" customHeight="1">
      <c r="A230" s="63" t="s">
        <v>113</v>
      </c>
      <c r="B230" s="74">
        <v>227</v>
      </c>
      <c r="C230" s="64">
        <f t="shared" si="35"/>
        <v>264490.477243045</v>
      </c>
      <c r="D230" s="64">
        <f>IF(G229=0,0,IF(G229&lt;BondCalculator!$B$12,G229+E230,BondCalculator!$B$12))</f>
        <v>19759.39962294191</v>
      </c>
      <c r="E230" s="64">
        <f>C230*BondCalculator!$B$5/12</f>
        <v>1597.9633000100632</v>
      </c>
      <c r="F230" s="64">
        <f t="shared" si="30"/>
        <v>18161.436322931848</v>
      </c>
      <c r="G230" s="64">
        <f t="shared" si="31"/>
        <v>246329.04092011316</v>
      </c>
      <c r="H230" s="76">
        <f t="shared" si="32"/>
        <v>0.09853161636804526</v>
      </c>
      <c r="J230" s="66">
        <f t="shared" si="33"/>
        <v>0</v>
      </c>
      <c r="K230" s="66">
        <f>IF(N229=0,0,IF(N229&lt;BondCalculator!$B$12+BondCalculator!$B$7,N229+L230,BondCalculator!$B$12+BondCalculator!$B$7))</f>
        <v>0</v>
      </c>
      <c r="L230" s="66">
        <f>J230*BondCalculator!$B$5/12</f>
        <v>0</v>
      </c>
      <c r="M230" s="66">
        <f t="shared" si="34"/>
        <v>0</v>
      </c>
      <c r="N230" s="66">
        <f t="shared" si="27"/>
        <v>0</v>
      </c>
      <c r="P230" s="66">
        <f t="shared" si="28"/>
        <v>1597.9633000100632</v>
      </c>
      <c r="Q230" s="67">
        <f>-PV(BondCalculator!$B$9/12,B230,0,1,0)</f>
        <v>0.3223324144239132</v>
      </c>
      <c r="S230" s="68">
        <f t="shared" si="29"/>
        <v>515.0753686530476</v>
      </c>
    </row>
    <row r="231" spans="1:19" ht="15" customHeight="1">
      <c r="A231" s="63" t="s">
        <v>113</v>
      </c>
      <c r="B231" s="74">
        <v>228</v>
      </c>
      <c r="C231" s="64">
        <f t="shared" si="35"/>
        <v>246329.04092011316</v>
      </c>
      <c r="D231" s="64">
        <f>IF(G230=0,0,IF(G230&lt;BondCalculator!$B$12,G230+E231,BondCalculator!$B$12))</f>
        <v>19759.39962294191</v>
      </c>
      <c r="E231" s="64">
        <f>C231*BondCalculator!$B$5/12</f>
        <v>1488.2379555590169</v>
      </c>
      <c r="F231" s="64">
        <f t="shared" si="30"/>
        <v>18271.161667382894</v>
      </c>
      <c r="G231" s="64">
        <f t="shared" si="31"/>
        <v>228057.87925273026</v>
      </c>
      <c r="H231" s="76">
        <f t="shared" si="32"/>
        <v>0.0912231517010921</v>
      </c>
      <c r="J231" s="66">
        <f t="shared" si="33"/>
        <v>0</v>
      </c>
      <c r="K231" s="66">
        <f>IF(N230=0,0,IF(N230&lt;BondCalculator!$B$12+BondCalculator!$B$7,N230+L231,BondCalculator!$B$12+BondCalculator!$B$7))</f>
        <v>0</v>
      </c>
      <c r="L231" s="66">
        <f>J231*BondCalculator!$B$5/12</f>
        <v>0</v>
      </c>
      <c r="M231" s="66">
        <f t="shared" si="34"/>
        <v>0</v>
      </c>
      <c r="N231" s="66">
        <f t="shared" si="27"/>
        <v>0</v>
      </c>
      <c r="P231" s="66">
        <f t="shared" si="28"/>
        <v>1488.2379555590169</v>
      </c>
      <c r="Q231" s="67">
        <f>-PV(BondCalculator!$B$9/12,B231,0,1,0)</f>
        <v>0.32072877057105803</v>
      </c>
      <c r="S231" s="68">
        <f t="shared" si="29"/>
        <v>477.3207298036284</v>
      </c>
    </row>
    <row r="232" spans="1:19" ht="15" customHeight="1">
      <c r="A232" s="63" t="s">
        <v>114</v>
      </c>
      <c r="B232" s="74">
        <v>229</v>
      </c>
      <c r="C232" s="64">
        <f t="shared" si="35"/>
        <v>228057.87925273026</v>
      </c>
      <c r="D232" s="64">
        <f>IF(G231=0,0,IF(G231&lt;BondCalculator!$B$12,G231+E232,BondCalculator!$B$12))</f>
        <v>19759.39962294191</v>
      </c>
      <c r="E232" s="64">
        <f>C232*BondCalculator!$B$5/12</f>
        <v>1377.849687151912</v>
      </c>
      <c r="F232" s="64">
        <f t="shared" si="30"/>
        <v>18381.549935789997</v>
      </c>
      <c r="G232" s="64">
        <f t="shared" si="31"/>
        <v>209676.32931694028</v>
      </c>
      <c r="H232" s="76">
        <f t="shared" si="32"/>
        <v>0.08387053172677611</v>
      </c>
      <c r="J232" s="66">
        <f t="shared" si="33"/>
        <v>0</v>
      </c>
      <c r="K232" s="66">
        <f>IF(N231=0,0,IF(N231&lt;BondCalculator!$B$12+BondCalculator!$B$7,N231+L232,BondCalculator!$B$12+BondCalculator!$B$7))</f>
        <v>0</v>
      </c>
      <c r="L232" s="66">
        <f>J232*BondCalculator!$B$5/12</f>
        <v>0</v>
      </c>
      <c r="M232" s="66">
        <f t="shared" si="34"/>
        <v>0</v>
      </c>
      <c r="N232" s="66">
        <f t="shared" si="27"/>
        <v>0</v>
      </c>
      <c r="P232" s="66">
        <f t="shared" si="28"/>
        <v>1377.849687151912</v>
      </c>
      <c r="Q232" s="67">
        <f>-PV(BondCalculator!$B$9/12,B232,0,1,0)</f>
        <v>0.319133105045829</v>
      </c>
      <c r="S232" s="68">
        <f t="shared" si="29"/>
        <v>439.7174489472137</v>
      </c>
    </row>
    <row r="233" spans="1:19" ht="15" customHeight="1">
      <c r="A233" s="63" t="s">
        <v>114</v>
      </c>
      <c r="B233" s="74">
        <v>230</v>
      </c>
      <c r="C233" s="64">
        <f t="shared" si="35"/>
        <v>209676.32931694028</v>
      </c>
      <c r="D233" s="64">
        <f>IF(G232=0,0,IF(G232&lt;BondCalculator!$B$12,G232+E233,BondCalculator!$B$12))</f>
        <v>19759.39962294191</v>
      </c>
      <c r="E233" s="64">
        <f>C233*BondCalculator!$B$5/12</f>
        <v>1266.7944896231809</v>
      </c>
      <c r="F233" s="64">
        <f t="shared" si="30"/>
        <v>18492.605133318728</v>
      </c>
      <c r="G233" s="64">
        <f t="shared" si="31"/>
        <v>191183.72418362155</v>
      </c>
      <c r="H233" s="76">
        <f t="shared" si="32"/>
        <v>0.07647348967344862</v>
      </c>
      <c r="J233" s="66">
        <f t="shared" si="33"/>
        <v>0</v>
      </c>
      <c r="K233" s="66">
        <f>IF(N232=0,0,IF(N232&lt;BondCalculator!$B$12+BondCalculator!$B$7,N232+L233,BondCalculator!$B$12+BondCalculator!$B$7))</f>
        <v>0</v>
      </c>
      <c r="L233" s="66">
        <f>J233*BondCalculator!$B$5/12</f>
        <v>0</v>
      </c>
      <c r="M233" s="66">
        <f t="shared" si="34"/>
        <v>0</v>
      </c>
      <c r="N233" s="66">
        <f t="shared" si="27"/>
        <v>0</v>
      </c>
      <c r="P233" s="66">
        <f t="shared" si="28"/>
        <v>1266.7944896231809</v>
      </c>
      <c r="Q233" s="67">
        <f>-PV(BondCalculator!$B$9/12,B233,0,1,0)</f>
        <v>0.3175453781550537</v>
      </c>
      <c r="S233" s="68">
        <f t="shared" si="29"/>
        <v>402.2647352521312</v>
      </c>
    </row>
    <row r="234" spans="1:19" ht="15" customHeight="1">
      <c r="A234" s="63" t="s">
        <v>114</v>
      </c>
      <c r="B234" s="74">
        <v>231</v>
      </c>
      <c r="C234" s="64">
        <f t="shared" si="35"/>
        <v>191183.72418362155</v>
      </c>
      <c r="D234" s="64">
        <f>IF(G233=0,0,IF(G233&lt;BondCalculator!$B$12,G233+E234,BondCalculator!$B$12))</f>
        <v>19759.39962294191</v>
      </c>
      <c r="E234" s="64">
        <f>C234*BondCalculator!$B$5/12</f>
        <v>1155.06833360938</v>
      </c>
      <c r="F234" s="64">
        <f t="shared" si="30"/>
        <v>18604.33128933253</v>
      </c>
      <c r="G234" s="64">
        <f t="shared" si="31"/>
        <v>172579.39289428902</v>
      </c>
      <c r="H234" s="76">
        <f t="shared" si="32"/>
        <v>0.0690317571577156</v>
      </c>
      <c r="J234" s="66">
        <f t="shared" si="33"/>
        <v>0</v>
      </c>
      <c r="K234" s="66">
        <f>IF(N233=0,0,IF(N233&lt;BondCalculator!$B$12+BondCalculator!$B$7,N233+L234,BondCalculator!$B$12+BondCalculator!$B$7))</f>
        <v>0</v>
      </c>
      <c r="L234" s="66">
        <f>J234*BondCalculator!$B$5/12</f>
        <v>0</v>
      </c>
      <c r="M234" s="66">
        <f t="shared" si="34"/>
        <v>0</v>
      </c>
      <c r="N234" s="66">
        <f t="shared" si="27"/>
        <v>0</v>
      </c>
      <c r="P234" s="66">
        <f t="shared" si="28"/>
        <v>1155.06833360938</v>
      </c>
      <c r="Q234" s="67">
        <f>-PV(BondCalculator!$B$9/12,B234,0,1,0)</f>
        <v>0.31596555040303853</v>
      </c>
      <c r="S234" s="68">
        <f t="shared" si="29"/>
        <v>364.9618017820083</v>
      </c>
    </row>
    <row r="235" spans="1:19" ht="15" customHeight="1">
      <c r="A235" s="63" t="s">
        <v>114</v>
      </c>
      <c r="B235" s="74">
        <v>232</v>
      </c>
      <c r="C235" s="64">
        <f t="shared" si="35"/>
        <v>172579.39289428902</v>
      </c>
      <c r="D235" s="64">
        <f>IF(G234=0,0,IF(G234&lt;BondCalculator!$B$12,G234+E235,BondCalculator!$B$12))</f>
        <v>19759.39962294191</v>
      </c>
      <c r="E235" s="64">
        <f>C235*BondCalculator!$B$5/12</f>
        <v>1042.667165402996</v>
      </c>
      <c r="F235" s="64">
        <f t="shared" si="30"/>
        <v>18716.732457538914</v>
      </c>
      <c r="G235" s="64">
        <f t="shared" si="31"/>
        <v>153862.6604367501</v>
      </c>
      <c r="H235" s="76">
        <f t="shared" si="32"/>
        <v>0.06154506417470004</v>
      </c>
      <c r="J235" s="66">
        <f t="shared" si="33"/>
        <v>0</v>
      </c>
      <c r="K235" s="66">
        <f>IF(N234=0,0,IF(N234&lt;BondCalculator!$B$12+BondCalculator!$B$7,N234+L235,BondCalculator!$B$12+BondCalculator!$B$7))</f>
        <v>0</v>
      </c>
      <c r="L235" s="66">
        <f>J235*BondCalculator!$B$5/12</f>
        <v>0</v>
      </c>
      <c r="M235" s="66">
        <f t="shared" si="34"/>
        <v>0</v>
      </c>
      <c r="N235" s="66">
        <f t="shared" si="27"/>
        <v>0</v>
      </c>
      <c r="P235" s="66">
        <f t="shared" si="28"/>
        <v>1042.667165402996</v>
      </c>
      <c r="Q235" s="67">
        <f>-PV(BondCalculator!$B$9/12,B235,0,1,0)</f>
        <v>0.31439358249058563</v>
      </c>
      <c r="S235" s="68">
        <f t="shared" si="29"/>
        <v>327.80786547635194</v>
      </c>
    </row>
    <row r="236" spans="1:19" ht="15" customHeight="1">
      <c r="A236" s="63" t="s">
        <v>114</v>
      </c>
      <c r="B236" s="74">
        <v>233</v>
      </c>
      <c r="C236" s="64">
        <f t="shared" si="35"/>
        <v>153862.6604367501</v>
      </c>
      <c r="D236" s="64">
        <f>IF(G235=0,0,IF(G235&lt;BondCalculator!$B$12,G235+E236,BondCalculator!$B$12))</f>
        <v>19759.39962294191</v>
      </c>
      <c r="E236" s="64">
        <f>C236*BondCalculator!$B$5/12</f>
        <v>929.5869068053652</v>
      </c>
      <c r="F236" s="64">
        <f t="shared" si="30"/>
        <v>18829.812716136545</v>
      </c>
      <c r="G236" s="64">
        <f t="shared" si="31"/>
        <v>135032.84772061356</v>
      </c>
      <c r="H236" s="76">
        <f t="shared" si="32"/>
        <v>0.05401313908824542</v>
      </c>
      <c r="J236" s="66">
        <f t="shared" si="33"/>
        <v>0</v>
      </c>
      <c r="K236" s="66">
        <f>IF(N235=0,0,IF(N235&lt;BondCalculator!$B$12+BondCalculator!$B$7,N235+L236,BondCalculator!$B$12+BondCalculator!$B$7))</f>
        <v>0</v>
      </c>
      <c r="L236" s="66">
        <f>J236*BondCalculator!$B$5/12</f>
        <v>0</v>
      </c>
      <c r="M236" s="66">
        <f t="shared" si="34"/>
        <v>0</v>
      </c>
      <c r="N236" s="66">
        <f t="shared" si="27"/>
        <v>0</v>
      </c>
      <c r="P236" s="66">
        <f t="shared" si="28"/>
        <v>929.5869068053652</v>
      </c>
      <c r="Q236" s="67">
        <f>-PV(BondCalculator!$B$9/12,B236,0,1,0)</f>
        <v>0.31282943531401564</v>
      </c>
      <c r="S236" s="68">
        <f t="shared" si="29"/>
        <v>290.80214713122484</v>
      </c>
    </row>
    <row r="237" spans="1:19" ht="15" customHeight="1">
      <c r="A237" s="63" t="s">
        <v>114</v>
      </c>
      <c r="B237" s="74">
        <v>234</v>
      </c>
      <c r="C237" s="64">
        <f t="shared" si="35"/>
        <v>135032.84772061356</v>
      </c>
      <c r="D237" s="64">
        <f>IF(G236=0,0,IF(G236&lt;BondCalculator!$B$12,G236+E237,BondCalculator!$B$12))</f>
        <v>19759.39962294191</v>
      </c>
      <c r="E237" s="64">
        <f>C237*BondCalculator!$B$5/12</f>
        <v>815.8234549787068</v>
      </c>
      <c r="F237" s="64">
        <f t="shared" si="30"/>
        <v>18943.5761679632</v>
      </c>
      <c r="G237" s="64">
        <f t="shared" si="31"/>
        <v>116089.27155265036</v>
      </c>
      <c r="H237" s="76">
        <f t="shared" si="32"/>
        <v>0.04643570862106015</v>
      </c>
      <c r="J237" s="66">
        <f t="shared" si="33"/>
        <v>0</v>
      </c>
      <c r="K237" s="66">
        <f>IF(N236=0,0,IF(N236&lt;BondCalculator!$B$12+BondCalculator!$B$7,N236+L237,BondCalculator!$B$12+BondCalculator!$B$7))</f>
        <v>0</v>
      </c>
      <c r="L237" s="66">
        <f>J237*BondCalculator!$B$5/12</f>
        <v>0</v>
      </c>
      <c r="M237" s="66">
        <f t="shared" si="34"/>
        <v>0</v>
      </c>
      <c r="N237" s="66">
        <f t="shared" si="27"/>
        <v>0</v>
      </c>
      <c r="P237" s="66">
        <f t="shared" si="28"/>
        <v>815.8234549787068</v>
      </c>
      <c r="Q237" s="67">
        <f>-PV(BondCalculator!$B$9/12,B237,0,1,0)</f>
        <v>0.31127306996419474</v>
      </c>
      <c r="S237" s="68">
        <f t="shared" si="29"/>
        <v>253.94387138001807</v>
      </c>
    </row>
    <row r="238" spans="1:19" ht="15" customHeight="1">
      <c r="A238" s="63" t="s">
        <v>114</v>
      </c>
      <c r="B238" s="74">
        <v>235</v>
      </c>
      <c r="C238" s="64">
        <f t="shared" si="35"/>
        <v>116089.27155265036</v>
      </c>
      <c r="D238" s="64">
        <f>IF(G237=0,0,IF(G237&lt;BondCalculator!$B$12,G237+E238,BondCalculator!$B$12))</f>
        <v>19759.39962294191</v>
      </c>
      <c r="E238" s="64">
        <f>C238*BondCalculator!$B$5/12</f>
        <v>701.3726822972626</v>
      </c>
      <c r="F238" s="64">
        <f t="shared" si="30"/>
        <v>19058.026940644646</v>
      </c>
      <c r="G238" s="64">
        <f t="shared" si="31"/>
        <v>97031.24461200571</v>
      </c>
      <c r="H238" s="76">
        <f t="shared" si="32"/>
        <v>0.038812497844802285</v>
      </c>
      <c r="J238" s="66">
        <f t="shared" si="33"/>
        <v>0</v>
      </c>
      <c r="K238" s="66">
        <f>IF(N237=0,0,IF(N237&lt;BondCalculator!$B$12+BondCalculator!$B$7,N237+L238,BondCalculator!$B$12+BondCalculator!$B$7))</f>
        <v>0</v>
      </c>
      <c r="L238" s="66">
        <f>J238*BondCalculator!$B$5/12</f>
        <v>0</v>
      </c>
      <c r="M238" s="66">
        <f t="shared" si="34"/>
        <v>0</v>
      </c>
      <c r="N238" s="66">
        <f t="shared" si="27"/>
        <v>0</v>
      </c>
      <c r="P238" s="66">
        <f t="shared" si="28"/>
        <v>701.3726822972626</v>
      </c>
      <c r="Q238" s="67">
        <f>-PV(BondCalculator!$B$9/12,B238,0,1,0)</f>
        <v>0.3097244477255669</v>
      </c>
      <c r="S238" s="68">
        <f t="shared" si="29"/>
        <v>217.23226667431916</v>
      </c>
    </row>
    <row r="239" spans="1:19" ht="15" customHeight="1">
      <c r="A239" s="63" t="s">
        <v>114</v>
      </c>
      <c r="B239" s="74">
        <v>236</v>
      </c>
      <c r="C239" s="64">
        <f t="shared" si="35"/>
        <v>97031.24461200571</v>
      </c>
      <c r="D239" s="64">
        <f>IF(G238=0,0,IF(G238&lt;BondCalculator!$B$12,G238+E239,BondCalculator!$B$12))</f>
        <v>19759.39962294191</v>
      </c>
      <c r="E239" s="64">
        <f>C239*BondCalculator!$B$5/12</f>
        <v>586.2304361975345</v>
      </c>
      <c r="F239" s="64">
        <f t="shared" si="30"/>
        <v>19173.169186744377</v>
      </c>
      <c r="G239" s="64">
        <f t="shared" si="31"/>
        <v>77858.07542526134</v>
      </c>
      <c r="H239" s="76">
        <f t="shared" si="32"/>
        <v>0.031143230170104536</v>
      </c>
      <c r="J239" s="66">
        <f t="shared" si="33"/>
        <v>0</v>
      </c>
      <c r="K239" s="66">
        <f>IF(N238=0,0,IF(N238&lt;BondCalculator!$B$12+BondCalculator!$B$7,N238+L239,BondCalculator!$B$12+BondCalculator!$B$7))</f>
        <v>0</v>
      </c>
      <c r="L239" s="66">
        <f>J239*BondCalculator!$B$5/12</f>
        <v>0</v>
      </c>
      <c r="M239" s="66">
        <f t="shared" si="34"/>
        <v>0</v>
      </c>
      <c r="N239" s="66">
        <f t="shared" si="27"/>
        <v>0</v>
      </c>
      <c r="P239" s="66">
        <f t="shared" si="28"/>
        <v>586.2304361975345</v>
      </c>
      <c r="Q239" s="67">
        <f>-PV(BondCalculator!$B$9/12,B239,0,1,0)</f>
        <v>0.308183530075191</v>
      </c>
      <c r="S239" s="68">
        <f t="shared" si="29"/>
        <v>180.6665652648752</v>
      </c>
    </row>
    <row r="240" spans="1:19" ht="15" customHeight="1">
      <c r="A240" s="63" t="s">
        <v>114</v>
      </c>
      <c r="B240" s="74">
        <v>237</v>
      </c>
      <c r="C240" s="64">
        <f t="shared" si="35"/>
        <v>77858.07542526134</v>
      </c>
      <c r="D240" s="64">
        <f>IF(G239=0,0,IF(G239&lt;BondCalculator!$B$12,G239+E240,BondCalculator!$B$12))</f>
        <v>19759.39962294191</v>
      </c>
      <c r="E240" s="64">
        <f>C240*BondCalculator!$B$5/12</f>
        <v>470.39253902762056</v>
      </c>
      <c r="F240" s="64">
        <f t="shared" si="30"/>
        <v>19289.00708391429</v>
      </c>
      <c r="G240" s="64">
        <f t="shared" si="31"/>
        <v>58569.068341347054</v>
      </c>
      <c r="H240" s="76">
        <f t="shared" si="32"/>
        <v>0.02342762733653882</v>
      </c>
      <c r="J240" s="66">
        <f t="shared" si="33"/>
        <v>0</v>
      </c>
      <c r="K240" s="66">
        <f>IF(N239=0,0,IF(N239&lt;BondCalculator!$B$12+BondCalculator!$B$7,N239+L240,BondCalculator!$B$12+BondCalculator!$B$7))</f>
        <v>0</v>
      </c>
      <c r="L240" s="66">
        <f>J240*BondCalculator!$B$5/12</f>
        <v>0</v>
      </c>
      <c r="M240" s="66">
        <f t="shared" si="34"/>
        <v>0</v>
      </c>
      <c r="N240" s="66">
        <f t="shared" si="27"/>
        <v>0</v>
      </c>
      <c r="P240" s="66">
        <f t="shared" si="28"/>
        <v>470.39253902762056</v>
      </c>
      <c r="Q240" s="67">
        <f>-PV(BondCalculator!$B$9/12,B240,0,1,0)</f>
        <v>0.3066502786817822</v>
      </c>
      <c r="S240" s="68">
        <f t="shared" si="29"/>
        <v>144.24600318265095</v>
      </c>
    </row>
    <row r="241" spans="1:19" ht="15" customHeight="1">
      <c r="A241" s="63" t="s">
        <v>114</v>
      </c>
      <c r="B241" s="74">
        <v>238</v>
      </c>
      <c r="C241" s="64">
        <f t="shared" si="35"/>
        <v>58569.068341347054</v>
      </c>
      <c r="D241" s="64">
        <f>IF(G240=0,0,IF(G240&lt;BondCalculator!$B$12,G240+E241,BondCalculator!$B$12))</f>
        <v>19759.39962294191</v>
      </c>
      <c r="E241" s="64">
        <f>C241*BondCalculator!$B$5/12</f>
        <v>353.8547878956385</v>
      </c>
      <c r="F241" s="64">
        <f t="shared" si="30"/>
        <v>19405.544835046272</v>
      </c>
      <c r="G241" s="64">
        <f t="shared" si="31"/>
        <v>39163.523506300786</v>
      </c>
      <c r="H241" s="76">
        <f t="shared" si="32"/>
        <v>0.015665409402520314</v>
      </c>
      <c r="J241" s="66">
        <f t="shared" si="33"/>
        <v>0</v>
      </c>
      <c r="K241" s="66">
        <f>IF(N240=0,0,IF(N240&lt;BondCalculator!$B$12+BondCalculator!$B$7,N240+L241,BondCalculator!$B$12+BondCalculator!$B$7))</f>
        <v>0</v>
      </c>
      <c r="L241" s="66">
        <f>J241*BondCalculator!$B$5/12</f>
        <v>0</v>
      </c>
      <c r="M241" s="66">
        <f t="shared" si="34"/>
        <v>0</v>
      </c>
      <c r="N241" s="66">
        <f t="shared" si="27"/>
        <v>0</v>
      </c>
      <c r="P241" s="66">
        <f t="shared" si="28"/>
        <v>353.8547878956385</v>
      </c>
      <c r="Q241" s="67">
        <f>-PV(BondCalculator!$B$9/12,B241,0,1,0)</f>
        <v>0.3051246554047584</v>
      </c>
      <c r="S241" s="68">
        <f t="shared" si="29"/>
        <v>107.96982021998058</v>
      </c>
    </row>
    <row r="242" spans="1:19" ht="15" customHeight="1">
      <c r="A242" s="63" t="s">
        <v>114</v>
      </c>
      <c r="B242" s="74">
        <v>239</v>
      </c>
      <c r="C242" s="64">
        <f t="shared" si="35"/>
        <v>39163.523506300786</v>
      </c>
      <c r="D242" s="64">
        <f>IF(G241=0,0,IF(G241&lt;BondCalculator!$B$12,G241+E242,BondCalculator!$B$12))</f>
        <v>19759.39962294191</v>
      </c>
      <c r="E242" s="64">
        <f>C242*BondCalculator!$B$5/12</f>
        <v>236.6129545172339</v>
      </c>
      <c r="F242" s="64">
        <f t="shared" si="30"/>
        <v>19522.786668424676</v>
      </c>
      <c r="G242" s="64">
        <f t="shared" si="31"/>
        <v>19640.73683787611</v>
      </c>
      <c r="H242" s="76">
        <f t="shared" si="32"/>
        <v>0.007856294735150444</v>
      </c>
      <c r="J242" s="66">
        <f t="shared" si="33"/>
        <v>0</v>
      </c>
      <c r="K242" s="66">
        <f>IF(N241=0,0,IF(N241&lt;BondCalculator!$B$12+BondCalculator!$B$7,N241+L242,BondCalculator!$B$12+BondCalculator!$B$7))</f>
        <v>0</v>
      </c>
      <c r="L242" s="66">
        <f>J242*BondCalculator!$B$5/12</f>
        <v>0</v>
      </c>
      <c r="M242" s="66">
        <f t="shared" si="34"/>
        <v>0</v>
      </c>
      <c r="N242" s="66">
        <f t="shared" si="27"/>
        <v>0</v>
      </c>
      <c r="P242" s="66">
        <f t="shared" si="28"/>
        <v>236.6129545172339</v>
      </c>
      <c r="Q242" s="67">
        <f>-PV(BondCalculator!$B$9/12,B242,0,1,0)</f>
        <v>0.30360662229329205</v>
      </c>
      <c r="S242" s="68">
        <f t="shared" si="29"/>
        <v>71.83725991181372</v>
      </c>
    </row>
    <row r="243" spans="1:19" ht="15" customHeight="1">
      <c r="A243" s="63" t="s">
        <v>114</v>
      </c>
      <c r="B243" s="74">
        <v>240</v>
      </c>
      <c r="C243" s="64">
        <f t="shared" si="35"/>
        <v>19640.73683787611</v>
      </c>
      <c r="D243" s="64">
        <f>IF(G242=0,0,IF(G242&lt;BondCalculator!$B$12,G242+E243,BondCalculator!$B$12))</f>
        <v>19759.39962293828</v>
      </c>
      <c r="E243" s="64">
        <f>C243*BondCalculator!$B$5/12</f>
        <v>118.66278506216815</v>
      </c>
      <c r="F243" s="64">
        <f t="shared" si="30"/>
        <v>19640.73683787611</v>
      </c>
      <c r="G243" s="64">
        <f t="shared" si="31"/>
        <v>0</v>
      </c>
      <c r="H243" s="76">
        <f t="shared" si="32"/>
        <v>0</v>
      </c>
      <c r="J243" s="66">
        <f t="shared" si="33"/>
        <v>0</v>
      </c>
      <c r="K243" s="66">
        <f>IF(N242=0,0,IF(N242&lt;BondCalculator!$B$12+BondCalculator!$B$7,N242+L243,BondCalculator!$B$12+BondCalculator!$B$7))</f>
        <v>0</v>
      </c>
      <c r="L243" s="66">
        <f>J243*BondCalculator!$B$5/12</f>
        <v>0</v>
      </c>
      <c r="M243" s="66">
        <f t="shared" si="34"/>
        <v>0</v>
      </c>
      <c r="N243" s="66">
        <f t="shared" si="27"/>
        <v>0</v>
      </c>
      <c r="P243" s="66">
        <f t="shared" si="28"/>
        <v>118.66278506216815</v>
      </c>
      <c r="Q243" s="67">
        <f>-PV(BondCalculator!$B$9/12,B243,0,1,0)</f>
        <v>0.30209614158536524</v>
      </c>
      <c r="S243" s="68">
        <f t="shared" si="29"/>
        <v>35.84756951705452</v>
      </c>
    </row>
    <row r="244" spans="1:19" ht="15" customHeight="1">
      <c r="A244" s="63" t="s">
        <v>116</v>
      </c>
      <c r="B244" s="74">
        <v>241</v>
      </c>
      <c r="C244" s="64">
        <f t="shared" si="35"/>
        <v>0</v>
      </c>
      <c r="D244" s="64">
        <f>IF(G243=0,0,IF(G243&lt;BondCalculator!$B$12,G243+E244,BondCalculator!$B$12))</f>
        <v>0</v>
      </c>
      <c r="E244" s="64">
        <f>C244*BondCalculator!$B$5/12</f>
        <v>0</v>
      </c>
      <c r="F244" s="64">
        <f aca="true" t="shared" si="36" ref="F244:F307">D244-E244</f>
        <v>0</v>
      </c>
      <c r="G244" s="64">
        <f t="shared" si="31"/>
        <v>0</v>
      </c>
      <c r="H244" s="76">
        <f t="shared" si="32"/>
        <v>0</v>
      </c>
      <c r="J244" s="66">
        <f aca="true" t="shared" si="37" ref="J244:J307">IF(ROUND(N243,0)&gt;0,N243,0)</f>
        <v>0</v>
      </c>
      <c r="K244" s="66">
        <f>IF(N243=0,0,IF(N243&lt;BondCalculator!$B$12+BondCalculator!$B$7,N243+L244,BondCalculator!$B$12+BondCalculator!$B$7))</f>
        <v>0</v>
      </c>
      <c r="L244" s="66">
        <f>J244*BondCalculator!$B$5/12</f>
        <v>0</v>
      </c>
      <c r="M244" s="66">
        <f aca="true" t="shared" si="38" ref="M244:M307">IF(K244-L244&gt;N243,N243,K244-L244)</f>
        <v>0</v>
      </c>
      <c r="N244" s="66">
        <f aca="true" t="shared" si="39" ref="N244:N307">J244-M244</f>
        <v>0</v>
      </c>
      <c r="P244" s="66">
        <f aca="true" t="shared" si="40" ref="P244:P307">E244-L244</f>
        <v>0</v>
      </c>
      <c r="Q244" s="67">
        <f>-PV(BondCalculator!$B$9/12,B244,0,1,0)</f>
        <v>0.30059317570683103</v>
      </c>
      <c r="S244" s="68">
        <f t="shared" si="29"/>
        <v>0</v>
      </c>
    </row>
    <row r="245" spans="1:19" ht="15" customHeight="1">
      <c r="A245" s="63" t="s">
        <v>116</v>
      </c>
      <c r="B245" s="74">
        <v>242</v>
      </c>
      <c r="C245" s="64">
        <f t="shared" si="35"/>
        <v>0</v>
      </c>
      <c r="D245" s="64">
        <f>IF(G244=0,0,IF(G244&lt;BondCalculator!$B$12,G244+E245,BondCalculator!$B$12))</f>
        <v>0</v>
      </c>
      <c r="E245" s="64">
        <f>C245*BondCalculator!$B$5/12</f>
        <v>0</v>
      </c>
      <c r="F245" s="64">
        <f t="shared" si="36"/>
        <v>0</v>
      </c>
      <c r="G245" s="64">
        <f t="shared" si="31"/>
        <v>0</v>
      </c>
      <c r="H245" s="76">
        <f t="shared" si="32"/>
        <v>0</v>
      </c>
      <c r="J245" s="66">
        <f t="shared" si="37"/>
        <v>0</v>
      </c>
      <c r="K245" s="66">
        <f>IF(N244=0,0,IF(N244&lt;BondCalculator!$B$12+BondCalculator!$B$7,N244+L245,BondCalculator!$B$12+BondCalculator!$B$7))</f>
        <v>0</v>
      </c>
      <c r="L245" s="66">
        <f>J245*BondCalculator!$B$5/12</f>
        <v>0</v>
      </c>
      <c r="M245" s="66">
        <f t="shared" si="38"/>
        <v>0</v>
      </c>
      <c r="N245" s="66">
        <f t="shared" si="39"/>
        <v>0</v>
      </c>
      <c r="P245" s="66">
        <f t="shared" si="40"/>
        <v>0</v>
      </c>
      <c r="Q245" s="67">
        <f>-PV(BondCalculator!$B$9/12,B245,0,1,0)</f>
        <v>0.2990976872704788</v>
      </c>
      <c r="S245" s="68">
        <f t="shared" si="29"/>
        <v>0</v>
      </c>
    </row>
    <row r="246" spans="1:19" ht="15" customHeight="1">
      <c r="A246" s="63" t="s">
        <v>116</v>
      </c>
      <c r="B246" s="74">
        <v>243</v>
      </c>
      <c r="C246" s="64">
        <f t="shared" si="35"/>
        <v>0</v>
      </c>
      <c r="D246" s="64">
        <f>IF(G245=0,0,IF(G245&lt;BondCalculator!$B$12,G245+E246,BondCalculator!$B$12))</f>
        <v>0</v>
      </c>
      <c r="E246" s="64">
        <f>C246*BondCalculator!$B$5/12</f>
        <v>0</v>
      </c>
      <c r="F246" s="64">
        <f t="shared" si="36"/>
        <v>0</v>
      </c>
      <c r="G246" s="64">
        <f t="shared" si="31"/>
        <v>0</v>
      </c>
      <c r="H246" s="76">
        <f t="shared" si="32"/>
        <v>0</v>
      </c>
      <c r="J246" s="66">
        <f t="shared" si="37"/>
        <v>0</v>
      </c>
      <c r="K246" s="66">
        <f>IF(N245=0,0,IF(N245&lt;BondCalculator!$B$12+BondCalculator!$B$7,N245+L246,BondCalculator!$B$12+BondCalculator!$B$7))</f>
        <v>0</v>
      </c>
      <c r="L246" s="66">
        <f>J246*BondCalculator!$B$5/12</f>
        <v>0</v>
      </c>
      <c r="M246" s="66">
        <f t="shared" si="38"/>
        <v>0</v>
      </c>
      <c r="N246" s="66">
        <f t="shared" si="39"/>
        <v>0</v>
      </c>
      <c r="P246" s="66">
        <f t="shared" si="40"/>
        <v>0</v>
      </c>
      <c r="Q246" s="67">
        <f>-PV(BondCalculator!$B$9/12,B246,0,1,0)</f>
        <v>0.29760963907510324</v>
      </c>
      <c r="S246" s="68">
        <f t="shared" si="29"/>
        <v>0</v>
      </c>
    </row>
    <row r="247" spans="1:19" ht="15" customHeight="1">
      <c r="A247" s="63" t="s">
        <v>116</v>
      </c>
      <c r="B247" s="74">
        <v>244</v>
      </c>
      <c r="C247" s="64">
        <f t="shared" si="35"/>
        <v>0</v>
      </c>
      <c r="D247" s="64">
        <f>IF(G246=0,0,IF(G246&lt;BondCalculator!$B$12,G246+E247,BondCalculator!$B$12))</f>
        <v>0</v>
      </c>
      <c r="E247" s="64">
        <f>C247*BondCalculator!$B$5/12</f>
        <v>0</v>
      </c>
      <c r="F247" s="64">
        <f t="shared" si="36"/>
        <v>0</v>
      </c>
      <c r="G247" s="64">
        <f t="shared" si="31"/>
        <v>0</v>
      </c>
      <c r="H247" s="76">
        <f t="shared" si="32"/>
        <v>0</v>
      </c>
      <c r="J247" s="66">
        <f t="shared" si="37"/>
        <v>0</v>
      </c>
      <c r="K247" s="66">
        <f>IF(N246=0,0,IF(N246&lt;BondCalculator!$B$12+BondCalculator!$B$7,N246+L247,BondCalculator!$B$12+BondCalculator!$B$7))</f>
        <v>0</v>
      </c>
      <c r="L247" s="66">
        <f>J247*BondCalculator!$B$5/12</f>
        <v>0</v>
      </c>
      <c r="M247" s="66">
        <f t="shared" si="38"/>
        <v>0</v>
      </c>
      <c r="N247" s="66">
        <f t="shared" si="39"/>
        <v>0</v>
      </c>
      <c r="P247" s="66">
        <f t="shared" si="40"/>
        <v>0</v>
      </c>
      <c r="Q247" s="67">
        <f>-PV(BondCalculator!$B$9/12,B247,0,1,0)</f>
        <v>0.29612899410458043</v>
      </c>
      <c r="S247" s="68">
        <f t="shared" si="29"/>
        <v>0</v>
      </c>
    </row>
    <row r="248" spans="1:19" ht="15" customHeight="1">
      <c r="A248" s="63" t="s">
        <v>116</v>
      </c>
      <c r="B248" s="74">
        <v>245</v>
      </c>
      <c r="C248" s="64">
        <f t="shared" si="35"/>
        <v>0</v>
      </c>
      <c r="D248" s="64">
        <f>IF(G247=0,0,IF(G247&lt;BondCalculator!$B$12,G247+E248,BondCalculator!$B$12))</f>
        <v>0</v>
      </c>
      <c r="E248" s="64">
        <f>C248*BondCalculator!$B$5/12</f>
        <v>0</v>
      </c>
      <c r="F248" s="64">
        <f t="shared" si="36"/>
        <v>0</v>
      </c>
      <c r="G248" s="64">
        <f t="shared" si="31"/>
        <v>0</v>
      </c>
      <c r="H248" s="76">
        <f t="shared" si="32"/>
        <v>0</v>
      </c>
      <c r="J248" s="66">
        <f t="shared" si="37"/>
        <v>0</v>
      </c>
      <c r="K248" s="66">
        <f>IF(N247=0,0,IF(N247&lt;BondCalculator!$B$12+BondCalculator!$B$7,N247+L248,BondCalculator!$B$12+BondCalculator!$B$7))</f>
        <v>0</v>
      </c>
      <c r="L248" s="66">
        <f>J248*BondCalculator!$B$5/12</f>
        <v>0</v>
      </c>
      <c r="M248" s="66">
        <f t="shared" si="38"/>
        <v>0</v>
      </c>
      <c r="N248" s="66">
        <f t="shared" si="39"/>
        <v>0</v>
      </c>
      <c r="P248" s="66">
        <f t="shared" si="40"/>
        <v>0</v>
      </c>
      <c r="Q248" s="67">
        <f>-PV(BondCalculator!$B$9/12,B248,0,1,0)</f>
        <v>0.29465571552694575</v>
      </c>
      <c r="S248" s="68">
        <f t="shared" si="29"/>
        <v>0</v>
      </c>
    </row>
    <row r="249" spans="1:19" ht="15" customHeight="1">
      <c r="A249" s="63" t="s">
        <v>116</v>
      </c>
      <c r="B249" s="74">
        <v>246</v>
      </c>
      <c r="C249" s="64">
        <f t="shared" si="35"/>
        <v>0</v>
      </c>
      <c r="D249" s="64">
        <f>IF(G248=0,0,IF(G248&lt;BondCalculator!$B$12,G248+E249,BondCalculator!$B$12))</f>
        <v>0</v>
      </c>
      <c r="E249" s="64">
        <f>C249*BondCalculator!$B$5/12</f>
        <v>0</v>
      </c>
      <c r="F249" s="64">
        <f t="shared" si="36"/>
        <v>0</v>
      </c>
      <c r="G249" s="64">
        <f t="shared" si="31"/>
        <v>0</v>
      </c>
      <c r="H249" s="76">
        <f t="shared" si="32"/>
        <v>0</v>
      </c>
      <c r="J249" s="66">
        <f t="shared" si="37"/>
        <v>0</v>
      </c>
      <c r="K249" s="66">
        <f>IF(N248=0,0,IF(N248&lt;BondCalculator!$B$12+BondCalculator!$B$7,N248+L249,BondCalculator!$B$12+BondCalculator!$B$7))</f>
        <v>0</v>
      </c>
      <c r="L249" s="66">
        <f>J249*BondCalculator!$B$5/12</f>
        <v>0</v>
      </c>
      <c r="M249" s="66">
        <f t="shared" si="38"/>
        <v>0</v>
      </c>
      <c r="N249" s="66">
        <f t="shared" si="39"/>
        <v>0</v>
      </c>
      <c r="P249" s="66">
        <f t="shared" si="40"/>
        <v>0</v>
      </c>
      <c r="Q249" s="67">
        <f>-PV(BondCalculator!$B$9/12,B249,0,1,0)</f>
        <v>0.29318976669347846</v>
      </c>
      <c r="S249" s="68">
        <f t="shared" si="29"/>
        <v>0</v>
      </c>
    </row>
    <row r="250" spans="1:19" ht="15" customHeight="1">
      <c r="A250" s="63" t="s">
        <v>116</v>
      </c>
      <c r="B250" s="74">
        <v>247</v>
      </c>
      <c r="C250" s="64">
        <f t="shared" si="35"/>
        <v>0</v>
      </c>
      <c r="D250" s="64">
        <f>IF(G249=0,0,IF(G249&lt;BondCalculator!$B$12,G249+E250,BondCalculator!$B$12))</f>
        <v>0</v>
      </c>
      <c r="E250" s="64">
        <f>C250*BondCalculator!$B$5/12</f>
        <v>0</v>
      </c>
      <c r="F250" s="64">
        <f t="shared" si="36"/>
        <v>0</v>
      </c>
      <c r="G250" s="64">
        <f t="shared" si="31"/>
        <v>0</v>
      </c>
      <c r="H250" s="76">
        <f t="shared" si="32"/>
        <v>0</v>
      </c>
      <c r="J250" s="66">
        <f t="shared" si="37"/>
        <v>0</v>
      </c>
      <c r="K250" s="66">
        <f>IF(N249=0,0,IF(N249&lt;BondCalculator!$B$12+BondCalculator!$B$7,N249+L250,BondCalculator!$B$12+BondCalculator!$B$7))</f>
        <v>0</v>
      </c>
      <c r="L250" s="66">
        <f>J250*BondCalculator!$B$5/12</f>
        <v>0</v>
      </c>
      <c r="M250" s="66">
        <f t="shared" si="38"/>
        <v>0</v>
      </c>
      <c r="N250" s="66">
        <f t="shared" si="39"/>
        <v>0</v>
      </c>
      <c r="P250" s="66">
        <f t="shared" si="40"/>
        <v>0</v>
      </c>
      <c r="Q250" s="67">
        <f>-PV(BondCalculator!$B$9/12,B250,0,1,0)</f>
        <v>0.2917311111377895</v>
      </c>
      <c r="S250" s="68">
        <f t="shared" si="29"/>
        <v>0</v>
      </c>
    </row>
    <row r="251" spans="1:19" ht="15" customHeight="1">
      <c r="A251" s="63" t="s">
        <v>116</v>
      </c>
      <c r="B251" s="74">
        <v>248</v>
      </c>
      <c r="C251" s="64">
        <f t="shared" si="35"/>
        <v>0</v>
      </c>
      <c r="D251" s="64">
        <f>IF(G250=0,0,IF(G250&lt;BondCalculator!$B$12,G250+E251,BondCalculator!$B$12))</f>
        <v>0</v>
      </c>
      <c r="E251" s="64">
        <f>C251*BondCalculator!$B$5/12</f>
        <v>0</v>
      </c>
      <c r="F251" s="64">
        <f t="shared" si="36"/>
        <v>0</v>
      </c>
      <c r="G251" s="64">
        <f t="shared" si="31"/>
        <v>0</v>
      </c>
      <c r="H251" s="76">
        <f t="shared" si="32"/>
        <v>0</v>
      </c>
      <c r="J251" s="66">
        <f t="shared" si="37"/>
        <v>0</v>
      </c>
      <c r="K251" s="66">
        <f>IF(N250=0,0,IF(N250&lt;BondCalculator!$B$12+BondCalculator!$B$7,N250+L251,BondCalculator!$B$12+BondCalculator!$B$7))</f>
        <v>0</v>
      </c>
      <c r="L251" s="66">
        <f>J251*BondCalculator!$B$5/12</f>
        <v>0</v>
      </c>
      <c r="M251" s="66">
        <f t="shared" si="38"/>
        <v>0</v>
      </c>
      <c r="N251" s="66">
        <f t="shared" si="39"/>
        <v>0</v>
      </c>
      <c r="P251" s="66">
        <f t="shared" si="40"/>
        <v>0</v>
      </c>
      <c r="Q251" s="67">
        <f>-PV(BondCalculator!$B$9/12,B251,0,1,0)</f>
        <v>0.2902797125749149</v>
      </c>
      <c r="S251" s="68">
        <f t="shared" si="29"/>
        <v>0</v>
      </c>
    </row>
    <row r="252" spans="1:19" ht="15" customHeight="1">
      <c r="A252" s="63" t="s">
        <v>116</v>
      </c>
      <c r="B252" s="74">
        <v>249</v>
      </c>
      <c r="C252" s="64">
        <f t="shared" si="35"/>
        <v>0</v>
      </c>
      <c r="D252" s="64">
        <f>IF(G251=0,0,IF(G251&lt;BondCalculator!$B$12,G251+E252,BondCalculator!$B$12))</f>
        <v>0</v>
      </c>
      <c r="E252" s="64">
        <f>C252*BondCalculator!$B$5/12</f>
        <v>0</v>
      </c>
      <c r="F252" s="64">
        <f t="shared" si="36"/>
        <v>0</v>
      </c>
      <c r="G252" s="64">
        <f t="shared" si="31"/>
        <v>0</v>
      </c>
      <c r="H252" s="76">
        <f t="shared" si="32"/>
        <v>0</v>
      </c>
      <c r="J252" s="66">
        <f t="shared" si="37"/>
        <v>0</v>
      </c>
      <c r="K252" s="66">
        <f>IF(N251=0,0,IF(N251&lt;BondCalculator!$B$12+BondCalculator!$B$7,N251+L252,BondCalculator!$B$12+BondCalculator!$B$7))</f>
        <v>0</v>
      </c>
      <c r="L252" s="66">
        <f>J252*BondCalculator!$B$5/12</f>
        <v>0</v>
      </c>
      <c r="M252" s="66">
        <f t="shared" si="38"/>
        <v>0</v>
      </c>
      <c r="N252" s="66">
        <f t="shared" si="39"/>
        <v>0</v>
      </c>
      <c r="P252" s="66">
        <f t="shared" si="40"/>
        <v>0</v>
      </c>
      <c r="Q252" s="67">
        <f>-PV(BondCalculator!$B$9/12,B252,0,1,0)</f>
        <v>0.2888355349004129</v>
      </c>
      <c r="S252" s="68">
        <f t="shared" si="29"/>
        <v>0</v>
      </c>
    </row>
    <row r="253" spans="1:19" ht="15" customHeight="1">
      <c r="A253" s="63" t="s">
        <v>116</v>
      </c>
      <c r="B253" s="74">
        <v>250</v>
      </c>
      <c r="C253" s="64">
        <f t="shared" si="35"/>
        <v>0</v>
      </c>
      <c r="D253" s="64">
        <f>IF(G252=0,0,IF(G252&lt;BondCalculator!$B$12,G252+E253,BondCalculator!$B$12))</f>
        <v>0</v>
      </c>
      <c r="E253" s="64">
        <f>C253*BondCalculator!$B$5/12</f>
        <v>0</v>
      </c>
      <c r="F253" s="64">
        <f t="shared" si="36"/>
        <v>0</v>
      </c>
      <c r="G253" s="64">
        <f t="shared" si="31"/>
        <v>0</v>
      </c>
      <c r="H253" s="76">
        <f t="shared" si="32"/>
        <v>0</v>
      </c>
      <c r="J253" s="66">
        <f t="shared" si="37"/>
        <v>0</v>
      </c>
      <c r="K253" s="66">
        <f>IF(N252=0,0,IF(N252&lt;BondCalculator!$B$12+BondCalculator!$B$7,N252+L253,BondCalculator!$B$12+BondCalculator!$B$7))</f>
        <v>0</v>
      </c>
      <c r="L253" s="66">
        <f>J253*BondCalculator!$B$5/12</f>
        <v>0</v>
      </c>
      <c r="M253" s="66">
        <f t="shared" si="38"/>
        <v>0</v>
      </c>
      <c r="N253" s="66">
        <f t="shared" si="39"/>
        <v>0</v>
      </c>
      <c r="P253" s="66">
        <f t="shared" si="40"/>
        <v>0</v>
      </c>
      <c r="Q253" s="67">
        <f>-PV(BondCalculator!$B$9/12,B253,0,1,0)</f>
        <v>0.2873985421894656</v>
      </c>
      <c r="S253" s="68">
        <f t="shared" si="29"/>
        <v>0</v>
      </c>
    </row>
    <row r="254" spans="1:19" ht="15" customHeight="1">
      <c r="A254" s="63" t="s">
        <v>116</v>
      </c>
      <c r="B254" s="74">
        <v>251</v>
      </c>
      <c r="C254" s="64">
        <f t="shared" si="35"/>
        <v>0</v>
      </c>
      <c r="D254" s="64">
        <f>IF(G253=0,0,IF(G253&lt;BondCalculator!$B$12,G253+E254,BondCalculator!$B$12))</f>
        <v>0</v>
      </c>
      <c r="E254" s="64">
        <f>C254*BondCalculator!$B$5/12</f>
        <v>0</v>
      </c>
      <c r="F254" s="64">
        <f t="shared" si="36"/>
        <v>0</v>
      </c>
      <c r="G254" s="64">
        <f t="shared" si="31"/>
        <v>0</v>
      </c>
      <c r="H254" s="76">
        <f t="shared" si="32"/>
        <v>0</v>
      </c>
      <c r="J254" s="66">
        <f t="shared" si="37"/>
        <v>0</v>
      </c>
      <c r="K254" s="66">
        <f>IF(N253=0,0,IF(N253&lt;BondCalculator!$B$12+BondCalculator!$B$7,N253+L254,BondCalculator!$B$12+BondCalculator!$B$7))</f>
        <v>0</v>
      </c>
      <c r="L254" s="66">
        <f>J254*BondCalculator!$B$5/12</f>
        <v>0</v>
      </c>
      <c r="M254" s="66">
        <f t="shared" si="38"/>
        <v>0</v>
      </c>
      <c r="N254" s="66">
        <f t="shared" si="39"/>
        <v>0</v>
      </c>
      <c r="P254" s="66">
        <f t="shared" si="40"/>
        <v>0</v>
      </c>
      <c r="Q254" s="67">
        <f>-PV(BondCalculator!$B$9/12,B254,0,1,0)</f>
        <v>0.2859686986959858</v>
      </c>
      <c r="S254" s="68">
        <f t="shared" si="29"/>
        <v>0</v>
      </c>
    </row>
    <row r="255" spans="1:19" ht="15" customHeight="1">
      <c r="A255" s="63" t="s">
        <v>116</v>
      </c>
      <c r="B255" s="74">
        <v>252</v>
      </c>
      <c r="C255" s="64">
        <f t="shared" si="35"/>
        <v>0</v>
      </c>
      <c r="D255" s="64">
        <f>IF(G254=0,0,IF(G254&lt;BondCalculator!$B$12,G254+E255,BondCalculator!$B$12))</f>
        <v>0</v>
      </c>
      <c r="E255" s="64">
        <f>C255*BondCalculator!$B$5/12</f>
        <v>0</v>
      </c>
      <c r="F255" s="64">
        <f t="shared" si="36"/>
        <v>0</v>
      </c>
      <c r="G255" s="64">
        <f t="shared" si="31"/>
        <v>0</v>
      </c>
      <c r="H255" s="76">
        <f t="shared" si="32"/>
        <v>0</v>
      </c>
      <c r="J255" s="66">
        <f t="shared" si="37"/>
        <v>0</v>
      </c>
      <c r="K255" s="66">
        <f>IF(N254=0,0,IF(N254&lt;BondCalculator!$B$12+BondCalculator!$B$7,N254+L255,BondCalculator!$B$12+BondCalculator!$B$7))</f>
        <v>0</v>
      </c>
      <c r="L255" s="66">
        <f>J255*BondCalculator!$B$5/12</f>
        <v>0</v>
      </c>
      <c r="M255" s="66">
        <f t="shared" si="38"/>
        <v>0</v>
      </c>
      <c r="N255" s="66">
        <f t="shared" si="39"/>
        <v>0</v>
      </c>
      <c r="P255" s="66">
        <f t="shared" si="40"/>
        <v>0</v>
      </c>
      <c r="Q255" s="67">
        <f>-PV(BondCalculator!$B$9/12,B255,0,1,0)</f>
        <v>0.28454596885172717</v>
      </c>
      <c r="S255" s="68">
        <f t="shared" si="29"/>
        <v>0</v>
      </c>
    </row>
    <row r="256" spans="1:19" ht="15" customHeight="1">
      <c r="A256" s="63" t="s">
        <v>117</v>
      </c>
      <c r="B256" s="74">
        <v>253</v>
      </c>
      <c r="C256" s="64">
        <f t="shared" si="35"/>
        <v>0</v>
      </c>
      <c r="D256" s="64">
        <f>IF(G255=0,0,IF(G255&lt;BondCalculator!$B$12,G255+E256,BondCalculator!$B$12))</f>
        <v>0</v>
      </c>
      <c r="E256" s="64">
        <f>C256*BondCalculator!$B$5/12</f>
        <v>0</v>
      </c>
      <c r="F256" s="64">
        <f t="shared" si="36"/>
        <v>0</v>
      </c>
      <c r="G256" s="64">
        <f t="shared" si="31"/>
        <v>0</v>
      </c>
      <c r="H256" s="76">
        <f t="shared" si="32"/>
        <v>0</v>
      </c>
      <c r="J256" s="66">
        <f t="shared" si="37"/>
        <v>0</v>
      </c>
      <c r="K256" s="66">
        <f>IF(N255=0,0,IF(N255&lt;BondCalculator!$B$12+BondCalculator!$B$7,N255+L256,BondCalculator!$B$12+BondCalculator!$B$7))</f>
        <v>0</v>
      </c>
      <c r="L256" s="66">
        <f>J256*BondCalculator!$B$5/12</f>
        <v>0</v>
      </c>
      <c r="M256" s="66">
        <f t="shared" si="38"/>
        <v>0</v>
      </c>
      <c r="N256" s="66">
        <f t="shared" si="39"/>
        <v>0</v>
      </c>
      <c r="P256" s="66">
        <f t="shared" si="40"/>
        <v>0</v>
      </c>
      <c r="Q256" s="67">
        <f>-PV(BondCalculator!$B$9/12,B256,0,1,0)</f>
        <v>0.28313031726540017</v>
      </c>
      <c r="S256" s="68">
        <f t="shared" si="29"/>
        <v>0</v>
      </c>
    </row>
    <row r="257" spans="1:19" ht="15" customHeight="1">
      <c r="A257" s="63" t="s">
        <v>117</v>
      </c>
      <c r="B257" s="74">
        <v>254</v>
      </c>
      <c r="C257" s="64">
        <f t="shared" si="35"/>
        <v>0</v>
      </c>
      <c r="D257" s="64">
        <f>IF(G256=0,0,IF(G256&lt;BondCalculator!$B$12,G256+E257,BondCalculator!$B$12))</f>
        <v>0</v>
      </c>
      <c r="E257" s="64">
        <f>C257*BondCalculator!$B$5/12</f>
        <v>0</v>
      </c>
      <c r="F257" s="64">
        <f t="shared" si="36"/>
        <v>0</v>
      </c>
      <c r="G257" s="64">
        <f t="shared" si="31"/>
        <v>0</v>
      </c>
      <c r="H257" s="76">
        <f t="shared" si="32"/>
        <v>0</v>
      </c>
      <c r="J257" s="66">
        <f t="shared" si="37"/>
        <v>0</v>
      </c>
      <c r="K257" s="66">
        <f>IF(N256=0,0,IF(N256&lt;BondCalculator!$B$12+BondCalculator!$B$7,N256+L257,BondCalculator!$B$12+BondCalculator!$B$7))</f>
        <v>0</v>
      </c>
      <c r="L257" s="66">
        <f>J257*BondCalculator!$B$5/12</f>
        <v>0</v>
      </c>
      <c r="M257" s="66">
        <f t="shared" si="38"/>
        <v>0</v>
      </c>
      <c r="N257" s="66">
        <f t="shared" si="39"/>
        <v>0</v>
      </c>
      <c r="P257" s="66">
        <f t="shared" si="40"/>
        <v>0</v>
      </c>
      <c r="Q257" s="67">
        <f>-PV(BondCalculator!$B$9/12,B257,0,1,0)</f>
        <v>0.28172170872179125</v>
      </c>
      <c r="S257" s="68">
        <f t="shared" si="29"/>
        <v>0</v>
      </c>
    </row>
    <row r="258" spans="1:19" ht="15" customHeight="1">
      <c r="A258" s="63" t="s">
        <v>117</v>
      </c>
      <c r="B258" s="74">
        <v>255</v>
      </c>
      <c r="C258" s="64">
        <f t="shared" si="35"/>
        <v>0</v>
      </c>
      <c r="D258" s="64">
        <f>IF(G257=0,0,IF(G257&lt;BondCalculator!$B$12,G257+E258,BondCalculator!$B$12))</f>
        <v>0</v>
      </c>
      <c r="E258" s="64">
        <f>C258*BondCalculator!$B$5/12</f>
        <v>0</v>
      </c>
      <c r="F258" s="64">
        <f t="shared" si="36"/>
        <v>0</v>
      </c>
      <c r="G258" s="64">
        <f t="shared" si="31"/>
        <v>0</v>
      </c>
      <c r="H258" s="76">
        <f t="shared" si="32"/>
        <v>0</v>
      </c>
      <c r="J258" s="66">
        <f t="shared" si="37"/>
        <v>0</v>
      </c>
      <c r="K258" s="66">
        <f>IF(N257=0,0,IF(N257&lt;BondCalculator!$B$12+BondCalculator!$B$7,N257+L258,BondCalculator!$B$12+BondCalculator!$B$7))</f>
        <v>0</v>
      </c>
      <c r="L258" s="66">
        <f>J258*BondCalculator!$B$5/12</f>
        <v>0</v>
      </c>
      <c r="M258" s="66">
        <f t="shared" si="38"/>
        <v>0</v>
      </c>
      <c r="N258" s="66">
        <f t="shared" si="39"/>
        <v>0</v>
      </c>
      <c r="P258" s="66">
        <f t="shared" si="40"/>
        <v>0</v>
      </c>
      <c r="Q258" s="67">
        <f>-PV(BondCalculator!$B$9/12,B258,0,1,0)</f>
        <v>0.28032010818088693</v>
      </c>
      <c r="S258" s="68">
        <f t="shared" si="29"/>
        <v>0</v>
      </c>
    </row>
    <row r="259" spans="1:19" ht="15" customHeight="1">
      <c r="A259" s="63" t="s">
        <v>117</v>
      </c>
      <c r="B259" s="74">
        <v>256</v>
      </c>
      <c r="C259" s="64">
        <f t="shared" si="35"/>
        <v>0</v>
      </c>
      <c r="D259" s="64">
        <f>IF(G258=0,0,IF(G258&lt;BondCalculator!$B$12,G258+E259,BondCalculator!$B$12))</f>
        <v>0</v>
      </c>
      <c r="E259" s="64">
        <f>C259*BondCalculator!$B$5/12</f>
        <v>0</v>
      </c>
      <c r="F259" s="64">
        <f t="shared" si="36"/>
        <v>0</v>
      </c>
      <c r="G259" s="64">
        <f t="shared" si="31"/>
        <v>0</v>
      </c>
      <c r="H259" s="76">
        <f t="shared" si="32"/>
        <v>0</v>
      </c>
      <c r="J259" s="66">
        <f t="shared" si="37"/>
        <v>0</v>
      </c>
      <c r="K259" s="66">
        <f>IF(N258=0,0,IF(N258&lt;BondCalculator!$B$12+BondCalculator!$B$7,N258+L259,BondCalculator!$B$12+BondCalculator!$B$7))</f>
        <v>0</v>
      </c>
      <c r="L259" s="66">
        <f>J259*BondCalculator!$B$5/12</f>
        <v>0</v>
      </c>
      <c r="M259" s="66">
        <f t="shared" si="38"/>
        <v>0</v>
      </c>
      <c r="N259" s="66">
        <f t="shared" si="39"/>
        <v>0</v>
      </c>
      <c r="P259" s="66">
        <f t="shared" si="40"/>
        <v>0</v>
      </c>
      <c r="Q259" s="67">
        <f>-PV(BondCalculator!$B$9/12,B259,0,1,0)</f>
        <v>0.27892548077700197</v>
      </c>
      <c r="S259" s="68">
        <f t="shared" si="29"/>
        <v>0</v>
      </c>
    </row>
    <row r="260" spans="1:19" ht="15" customHeight="1">
      <c r="A260" s="63" t="s">
        <v>117</v>
      </c>
      <c r="B260" s="74">
        <v>257</v>
      </c>
      <c r="C260" s="64">
        <f t="shared" si="35"/>
        <v>0</v>
      </c>
      <c r="D260" s="64">
        <f>IF(G259=0,0,IF(G259&lt;BondCalculator!$B$12,G259+E260,BondCalculator!$B$12))</f>
        <v>0</v>
      </c>
      <c r="E260" s="64">
        <f>C260*BondCalculator!$B$5/12</f>
        <v>0</v>
      </c>
      <c r="F260" s="64">
        <f t="shared" si="36"/>
        <v>0</v>
      </c>
      <c r="G260" s="64">
        <f t="shared" si="31"/>
        <v>0</v>
      </c>
      <c r="H260" s="76">
        <f t="shared" si="32"/>
        <v>0</v>
      </c>
      <c r="J260" s="66">
        <f t="shared" si="37"/>
        <v>0</v>
      </c>
      <c r="K260" s="66">
        <f>IF(N259=0,0,IF(N259&lt;BondCalculator!$B$12+BondCalculator!$B$7,N259+L260,BondCalculator!$B$12+BondCalculator!$B$7))</f>
        <v>0</v>
      </c>
      <c r="L260" s="66">
        <f>J260*BondCalculator!$B$5/12</f>
        <v>0</v>
      </c>
      <c r="M260" s="66">
        <f t="shared" si="38"/>
        <v>0</v>
      </c>
      <c r="N260" s="66">
        <f t="shared" si="39"/>
        <v>0</v>
      </c>
      <c r="P260" s="66">
        <f t="shared" si="40"/>
        <v>0</v>
      </c>
      <c r="Q260" s="67">
        <f>-PV(BondCalculator!$B$9/12,B260,0,1,0)</f>
        <v>0.2775377918179124</v>
      </c>
      <c r="S260" s="68">
        <f aca="true" t="shared" si="41" ref="S260:S323">P260*Q260</f>
        <v>0</v>
      </c>
    </row>
    <row r="261" spans="1:19" ht="15" customHeight="1">
      <c r="A261" s="63" t="s">
        <v>117</v>
      </c>
      <c r="B261" s="74">
        <v>258</v>
      </c>
      <c r="C261" s="64">
        <f t="shared" si="35"/>
        <v>0</v>
      </c>
      <c r="D261" s="64">
        <f>IF(G260=0,0,IF(G260&lt;BondCalculator!$B$12,G260+E261,BondCalculator!$B$12))</f>
        <v>0</v>
      </c>
      <c r="E261" s="64">
        <f>C261*BondCalculator!$B$5/12</f>
        <v>0</v>
      </c>
      <c r="F261" s="64">
        <f t="shared" si="36"/>
        <v>0</v>
      </c>
      <c r="G261" s="64">
        <f aca="true" t="shared" si="42" ref="G261:G324">IF(ROUND(C261-F261,2)=0,0,C261-F261)</f>
        <v>0</v>
      </c>
      <c r="H261" s="76">
        <f aca="true" t="shared" si="43" ref="H261:H324">IF($C$4=0,0,G261/$C$4)</f>
        <v>0</v>
      </c>
      <c r="J261" s="66">
        <f t="shared" si="37"/>
        <v>0</v>
      </c>
      <c r="K261" s="66">
        <f>IF(N260=0,0,IF(N260&lt;BondCalculator!$B$12+BondCalculator!$B$7,N260+L261,BondCalculator!$B$12+BondCalculator!$B$7))</f>
        <v>0</v>
      </c>
      <c r="L261" s="66">
        <f>J261*BondCalculator!$B$5/12</f>
        <v>0</v>
      </c>
      <c r="M261" s="66">
        <f t="shared" si="38"/>
        <v>0</v>
      </c>
      <c r="N261" s="66">
        <f t="shared" si="39"/>
        <v>0</v>
      </c>
      <c r="P261" s="66">
        <f t="shared" si="40"/>
        <v>0</v>
      </c>
      <c r="Q261" s="67">
        <f>-PV(BondCalculator!$B$9/12,B261,0,1,0)</f>
        <v>0.2761570067839925</v>
      </c>
      <c r="S261" s="68">
        <f t="shared" si="41"/>
        <v>0</v>
      </c>
    </row>
    <row r="262" spans="1:19" ht="15" customHeight="1">
      <c r="A262" s="63" t="s">
        <v>117</v>
      </c>
      <c r="B262" s="74">
        <v>259</v>
      </c>
      <c r="C262" s="64">
        <f aca="true" t="shared" si="44" ref="C262:C325">G261</f>
        <v>0</v>
      </c>
      <c r="D262" s="64">
        <f>IF(G261=0,0,IF(G261&lt;BondCalculator!$B$12,G261+E262,BondCalculator!$B$12))</f>
        <v>0</v>
      </c>
      <c r="E262" s="64">
        <f>C262*BondCalculator!$B$5/12</f>
        <v>0</v>
      </c>
      <c r="F262" s="64">
        <f t="shared" si="36"/>
        <v>0</v>
      </c>
      <c r="G262" s="64">
        <f t="shared" si="42"/>
        <v>0</v>
      </c>
      <c r="H262" s="76">
        <f t="shared" si="43"/>
        <v>0</v>
      </c>
      <c r="J262" s="66">
        <f t="shared" si="37"/>
        <v>0</v>
      </c>
      <c r="K262" s="66">
        <f>IF(N261=0,0,IF(N261&lt;BondCalculator!$B$12+BondCalculator!$B$7,N261+L262,BondCalculator!$B$12+BondCalculator!$B$7))</f>
        <v>0</v>
      </c>
      <c r="L262" s="66">
        <f>J262*BondCalculator!$B$5/12</f>
        <v>0</v>
      </c>
      <c r="M262" s="66">
        <f t="shared" si="38"/>
        <v>0</v>
      </c>
      <c r="N262" s="66">
        <f t="shared" si="39"/>
        <v>0</v>
      </c>
      <c r="P262" s="66">
        <f t="shared" si="40"/>
        <v>0</v>
      </c>
      <c r="Q262" s="67">
        <f>-PV(BondCalculator!$B$9/12,B262,0,1,0)</f>
        <v>0.27478309132735573</v>
      </c>
      <c r="S262" s="68">
        <f t="shared" si="41"/>
        <v>0</v>
      </c>
    </row>
    <row r="263" spans="1:19" ht="15" customHeight="1">
      <c r="A263" s="63" t="s">
        <v>117</v>
      </c>
      <c r="B263" s="74">
        <v>260</v>
      </c>
      <c r="C263" s="64">
        <f t="shared" si="44"/>
        <v>0</v>
      </c>
      <c r="D263" s="64">
        <f>IF(G262=0,0,IF(G262&lt;BondCalculator!$B$12,G262+E263,BondCalculator!$B$12))</f>
        <v>0</v>
      </c>
      <c r="E263" s="64">
        <f>C263*BondCalculator!$B$5/12</f>
        <v>0</v>
      </c>
      <c r="F263" s="64">
        <f t="shared" si="36"/>
        <v>0</v>
      </c>
      <c r="G263" s="64">
        <f t="shared" si="42"/>
        <v>0</v>
      </c>
      <c r="H263" s="76">
        <f t="shared" si="43"/>
        <v>0</v>
      </c>
      <c r="J263" s="66">
        <f t="shared" si="37"/>
        <v>0</v>
      </c>
      <c r="K263" s="66">
        <f>IF(N262=0,0,IF(N262&lt;BondCalculator!$B$12+BondCalculator!$B$7,N262+L263,BondCalculator!$B$12+BondCalculator!$B$7))</f>
        <v>0</v>
      </c>
      <c r="L263" s="66">
        <f>J263*BondCalculator!$B$5/12</f>
        <v>0</v>
      </c>
      <c r="M263" s="66">
        <f t="shared" si="38"/>
        <v>0</v>
      </c>
      <c r="N263" s="66">
        <f t="shared" si="39"/>
        <v>0</v>
      </c>
      <c r="P263" s="66">
        <f t="shared" si="40"/>
        <v>0</v>
      </c>
      <c r="Q263" s="67">
        <f>-PV(BondCalculator!$B$9/12,B263,0,1,0)</f>
        <v>0.2734160112710008</v>
      </c>
      <c r="S263" s="68">
        <f t="shared" si="41"/>
        <v>0</v>
      </c>
    </row>
    <row r="264" spans="1:19" ht="15" customHeight="1">
      <c r="A264" s="63" t="s">
        <v>117</v>
      </c>
      <c r="B264" s="74">
        <v>261</v>
      </c>
      <c r="C264" s="64">
        <f t="shared" si="44"/>
        <v>0</v>
      </c>
      <c r="D264" s="64">
        <f>IF(G263=0,0,IF(G263&lt;BondCalculator!$B$12,G263+E264,BondCalculator!$B$12))</f>
        <v>0</v>
      </c>
      <c r="E264" s="64">
        <f>C264*BondCalculator!$B$5/12</f>
        <v>0</v>
      </c>
      <c r="F264" s="64">
        <f t="shared" si="36"/>
        <v>0</v>
      </c>
      <c r="G264" s="64">
        <f t="shared" si="42"/>
        <v>0</v>
      </c>
      <c r="H264" s="76">
        <f t="shared" si="43"/>
        <v>0</v>
      </c>
      <c r="J264" s="66">
        <f t="shared" si="37"/>
        <v>0</v>
      </c>
      <c r="K264" s="66">
        <f>IF(N263=0,0,IF(N263&lt;BondCalculator!$B$12+BondCalculator!$B$7,N263+L264,BondCalculator!$B$12+BondCalculator!$B$7))</f>
        <v>0</v>
      </c>
      <c r="L264" s="66">
        <f>J264*BondCalculator!$B$5/12</f>
        <v>0</v>
      </c>
      <c r="M264" s="66">
        <f t="shared" si="38"/>
        <v>0</v>
      </c>
      <c r="N264" s="66">
        <f t="shared" si="39"/>
        <v>0</v>
      </c>
      <c r="P264" s="66">
        <f t="shared" si="40"/>
        <v>0</v>
      </c>
      <c r="Q264" s="67">
        <f>-PV(BondCalculator!$B$9/12,B264,0,1,0)</f>
        <v>0.27205573260796106</v>
      </c>
      <c r="S264" s="68">
        <f t="shared" si="41"/>
        <v>0</v>
      </c>
    </row>
    <row r="265" spans="1:19" ht="15" customHeight="1">
      <c r="A265" s="63" t="s">
        <v>117</v>
      </c>
      <c r="B265" s="74">
        <v>262</v>
      </c>
      <c r="C265" s="64">
        <f t="shared" si="44"/>
        <v>0</v>
      </c>
      <c r="D265" s="64">
        <f>IF(G264=0,0,IF(G264&lt;BondCalculator!$B$12,G264+E265,BondCalculator!$B$12))</f>
        <v>0</v>
      </c>
      <c r="E265" s="64">
        <f>C265*BondCalculator!$B$5/12</f>
        <v>0</v>
      </c>
      <c r="F265" s="64">
        <f t="shared" si="36"/>
        <v>0</v>
      </c>
      <c r="G265" s="64">
        <f t="shared" si="42"/>
        <v>0</v>
      </c>
      <c r="H265" s="76">
        <f t="shared" si="43"/>
        <v>0</v>
      </c>
      <c r="J265" s="66">
        <f t="shared" si="37"/>
        <v>0</v>
      </c>
      <c r="K265" s="66">
        <f>IF(N264=0,0,IF(N264&lt;BondCalculator!$B$12+BondCalculator!$B$7,N264+L265,BondCalculator!$B$12+BondCalculator!$B$7))</f>
        <v>0</v>
      </c>
      <c r="L265" s="66">
        <f>J265*BondCalculator!$B$5/12</f>
        <v>0</v>
      </c>
      <c r="M265" s="66">
        <f t="shared" si="38"/>
        <v>0</v>
      </c>
      <c r="N265" s="66">
        <f t="shared" si="39"/>
        <v>0</v>
      </c>
      <c r="P265" s="66">
        <f t="shared" si="40"/>
        <v>0</v>
      </c>
      <c r="Q265" s="67">
        <f>-PV(BondCalculator!$B$9/12,B265,0,1,0)</f>
        <v>0.2707022215004588</v>
      </c>
      <c r="S265" s="68">
        <f t="shared" si="41"/>
        <v>0</v>
      </c>
    </row>
    <row r="266" spans="1:19" ht="15" customHeight="1">
      <c r="A266" s="63" t="s">
        <v>117</v>
      </c>
      <c r="B266" s="74">
        <v>263</v>
      </c>
      <c r="C266" s="64">
        <f t="shared" si="44"/>
        <v>0</v>
      </c>
      <c r="D266" s="64">
        <f>IF(G265=0,0,IF(G265&lt;BondCalculator!$B$12,G265+E266,BondCalculator!$B$12))</f>
        <v>0</v>
      </c>
      <c r="E266" s="64">
        <f>C266*BondCalculator!$B$5/12</f>
        <v>0</v>
      </c>
      <c r="F266" s="64">
        <f t="shared" si="36"/>
        <v>0</v>
      </c>
      <c r="G266" s="64">
        <f t="shared" si="42"/>
        <v>0</v>
      </c>
      <c r="H266" s="76">
        <f t="shared" si="43"/>
        <v>0</v>
      </c>
      <c r="J266" s="66">
        <f t="shared" si="37"/>
        <v>0</v>
      </c>
      <c r="K266" s="66">
        <f>IF(N265=0,0,IF(N265&lt;BondCalculator!$B$12+BondCalculator!$B$7,N265+L266,BondCalculator!$B$12+BondCalculator!$B$7))</f>
        <v>0</v>
      </c>
      <c r="L266" s="66">
        <f>J266*BondCalculator!$B$5/12</f>
        <v>0</v>
      </c>
      <c r="M266" s="66">
        <f t="shared" si="38"/>
        <v>0</v>
      </c>
      <c r="N266" s="66">
        <f t="shared" si="39"/>
        <v>0</v>
      </c>
      <c r="P266" s="66">
        <f t="shared" si="40"/>
        <v>0</v>
      </c>
      <c r="Q266" s="67">
        <f>-PV(BondCalculator!$B$9/12,B266,0,1,0)</f>
        <v>0.26935544427906355</v>
      </c>
      <c r="S266" s="68">
        <f t="shared" si="41"/>
        <v>0</v>
      </c>
    </row>
    <row r="267" spans="1:19" ht="15" customHeight="1">
      <c r="A267" s="63" t="s">
        <v>117</v>
      </c>
      <c r="B267" s="74">
        <v>264</v>
      </c>
      <c r="C267" s="64">
        <f t="shared" si="44"/>
        <v>0</v>
      </c>
      <c r="D267" s="64">
        <f>IF(G266=0,0,IF(G266&lt;BondCalculator!$B$12,G266+E267,BondCalculator!$B$12))</f>
        <v>0</v>
      </c>
      <c r="E267" s="64">
        <f>C267*BondCalculator!$B$5/12</f>
        <v>0</v>
      </c>
      <c r="F267" s="64">
        <f t="shared" si="36"/>
        <v>0</v>
      </c>
      <c r="G267" s="64">
        <f t="shared" si="42"/>
        <v>0</v>
      </c>
      <c r="H267" s="76">
        <f t="shared" si="43"/>
        <v>0</v>
      </c>
      <c r="J267" s="66">
        <f t="shared" si="37"/>
        <v>0</v>
      </c>
      <c r="K267" s="66">
        <f>IF(N266=0,0,IF(N266&lt;BondCalculator!$B$12+BondCalculator!$B$7,N266+L267,BondCalculator!$B$12+BondCalculator!$B$7))</f>
        <v>0</v>
      </c>
      <c r="L267" s="66">
        <f>J267*BondCalculator!$B$5/12</f>
        <v>0</v>
      </c>
      <c r="M267" s="66">
        <f t="shared" si="38"/>
        <v>0</v>
      </c>
      <c r="N267" s="66">
        <f t="shared" si="39"/>
        <v>0</v>
      </c>
      <c r="P267" s="66">
        <f t="shared" si="40"/>
        <v>0</v>
      </c>
      <c r="Q267" s="67">
        <f>-PV(BondCalculator!$B$9/12,B267,0,1,0)</f>
        <v>0.2680153674418543</v>
      </c>
      <c r="S267" s="68">
        <f t="shared" si="41"/>
        <v>0</v>
      </c>
    </row>
    <row r="268" spans="1:19" ht="15" customHeight="1">
      <c r="A268" s="63" t="s">
        <v>118</v>
      </c>
      <c r="B268" s="74">
        <v>265</v>
      </c>
      <c r="C268" s="64">
        <f t="shared" si="44"/>
        <v>0</v>
      </c>
      <c r="D268" s="64">
        <f>IF(G267=0,0,IF(G267&lt;BondCalculator!$B$12,G267+E268,BondCalculator!$B$12))</f>
        <v>0</v>
      </c>
      <c r="E268" s="64">
        <f>C268*BondCalculator!$B$5/12</f>
        <v>0</v>
      </c>
      <c r="F268" s="64">
        <f t="shared" si="36"/>
        <v>0</v>
      </c>
      <c r="G268" s="64">
        <f t="shared" si="42"/>
        <v>0</v>
      </c>
      <c r="H268" s="76">
        <f t="shared" si="43"/>
        <v>0</v>
      </c>
      <c r="J268" s="66">
        <f t="shared" si="37"/>
        <v>0</v>
      </c>
      <c r="K268" s="66">
        <f>IF(N267=0,0,IF(N267&lt;BondCalculator!$B$12+BondCalculator!$B$7,N267+L268,BondCalculator!$B$12+BondCalculator!$B$7))</f>
        <v>0</v>
      </c>
      <c r="L268" s="66">
        <f>J268*BondCalculator!$B$5/12</f>
        <v>0</v>
      </c>
      <c r="M268" s="66">
        <f t="shared" si="38"/>
        <v>0</v>
      </c>
      <c r="N268" s="66">
        <f t="shared" si="39"/>
        <v>0</v>
      </c>
      <c r="P268" s="66">
        <f t="shared" si="40"/>
        <v>0</v>
      </c>
      <c r="Q268" s="67">
        <f>-PV(BondCalculator!$B$9/12,B268,0,1,0)</f>
        <v>0.2666819576535864</v>
      </c>
      <c r="S268" s="68">
        <f t="shared" si="41"/>
        <v>0</v>
      </c>
    </row>
    <row r="269" spans="1:19" ht="15" customHeight="1">
      <c r="A269" s="63" t="s">
        <v>118</v>
      </c>
      <c r="B269" s="74">
        <v>266</v>
      </c>
      <c r="C269" s="64">
        <f t="shared" si="44"/>
        <v>0</v>
      </c>
      <c r="D269" s="64">
        <f>IF(G268=0,0,IF(G268&lt;BondCalculator!$B$12,G268+E269,BondCalculator!$B$12))</f>
        <v>0</v>
      </c>
      <c r="E269" s="64">
        <f>C269*BondCalculator!$B$5/12</f>
        <v>0</v>
      </c>
      <c r="F269" s="64">
        <f t="shared" si="36"/>
        <v>0</v>
      </c>
      <c r="G269" s="64">
        <f t="shared" si="42"/>
        <v>0</v>
      </c>
      <c r="H269" s="76">
        <f t="shared" si="43"/>
        <v>0</v>
      </c>
      <c r="J269" s="66">
        <f t="shared" si="37"/>
        <v>0</v>
      </c>
      <c r="K269" s="66">
        <f>IF(N268=0,0,IF(N268&lt;BondCalculator!$B$12+BondCalculator!$B$7,N268+L269,BondCalculator!$B$12+BondCalculator!$B$7))</f>
        <v>0</v>
      </c>
      <c r="L269" s="66">
        <f>J269*BondCalculator!$B$5/12</f>
        <v>0</v>
      </c>
      <c r="M269" s="66">
        <f t="shared" si="38"/>
        <v>0</v>
      </c>
      <c r="N269" s="66">
        <f t="shared" si="39"/>
        <v>0</v>
      </c>
      <c r="P269" s="66">
        <f t="shared" si="40"/>
        <v>0</v>
      </c>
      <c r="Q269" s="67">
        <f>-PV(BondCalculator!$B$9/12,B269,0,1,0)</f>
        <v>0.2653551817448621</v>
      </c>
      <c r="S269" s="68">
        <f t="shared" si="41"/>
        <v>0</v>
      </c>
    </row>
    <row r="270" spans="1:19" ht="15" customHeight="1">
      <c r="A270" s="63" t="s">
        <v>118</v>
      </c>
      <c r="B270" s="74">
        <v>267</v>
      </c>
      <c r="C270" s="64">
        <f t="shared" si="44"/>
        <v>0</v>
      </c>
      <c r="D270" s="64">
        <f>IF(G269=0,0,IF(G269&lt;BondCalculator!$B$12,G269+E270,BondCalculator!$B$12))</f>
        <v>0</v>
      </c>
      <c r="E270" s="64">
        <f>C270*BondCalculator!$B$5/12</f>
        <v>0</v>
      </c>
      <c r="F270" s="64">
        <f t="shared" si="36"/>
        <v>0</v>
      </c>
      <c r="G270" s="64">
        <f t="shared" si="42"/>
        <v>0</v>
      </c>
      <c r="H270" s="76">
        <f t="shared" si="43"/>
        <v>0</v>
      </c>
      <c r="J270" s="66">
        <f t="shared" si="37"/>
        <v>0</v>
      </c>
      <c r="K270" s="66">
        <f>IF(N269=0,0,IF(N269&lt;BondCalculator!$B$12+BondCalculator!$B$7,N269+L270,BondCalculator!$B$12+BondCalculator!$B$7))</f>
        <v>0</v>
      </c>
      <c r="L270" s="66">
        <f>J270*BondCalculator!$B$5/12</f>
        <v>0</v>
      </c>
      <c r="M270" s="66">
        <f t="shared" si="38"/>
        <v>0</v>
      </c>
      <c r="N270" s="66">
        <f t="shared" si="39"/>
        <v>0</v>
      </c>
      <c r="P270" s="66">
        <f t="shared" si="40"/>
        <v>0</v>
      </c>
      <c r="Q270" s="67">
        <f>-PV(BondCalculator!$B$9/12,B270,0,1,0)</f>
        <v>0.2640350067113056</v>
      </c>
      <c r="S270" s="68">
        <f t="shared" si="41"/>
        <v>0</v>
      </c>
    </row>
    <row r="271" spans="1:19" ht="15" customHeight="1">
      <c r="A271" s="63" t="s">
        <v>118</v>
      </c>
      <c r="B271" s="74">
        <v>268</v>
      </c>
      <c r="C271" s="64">
        <f t="shared" si="44"/>
        <v>0</v>
      </c>
      <c r="D271" s="64">
        <f>IF(G270=0,0,IF(G270&lt;BondCalculator!$B$12,G270+E271,BondCalculator!$B$12))</f>
        <v>0</v>
      </c>
      <c r="E271" s="64">
        <f>C271*BondCalculator!$B$5/12</f>
        <v>0</v>
      </c>
      <c r="F271" s="64">
        <f t="shared" si="36"/>
        <v>0</v>
      </c>
      <c r="G271" s="64">
        <f t="shared" si="42"/>
        <v>0</v>
      </c>
      <c r="H271" s="76">
        <f t="shared" si="43"/>
        <v>0</v>
      </c>
      <c r="J271" s="66">
        <f t="shared" si="37"/>
        <v>0</v>
      </c>
      <c r="K271" s="66">
        <f>IF(N270=0,0,IF(N270&lt;BondCalculator!$B$12+BondCalculator!$B$7,N270+L271,BondCalculator!$B$12+BondCalculator!$B$7))</f>
        <v>0</v>
      </c>
      <c r="L271" s="66">
        <f>J271*BondCalculator!$B$5/12</f>
        <v>0</v>
      </c>
      <c r="M271" s="66">
        <f t="shared" si="38"/>
        <v>0</v>
      </c>
      <c r="N271" s="66">
        <f t="shared" si="39"/>
        <v>0</v>
      </c>
      <c r="P271" s="66">
        <f t="shared" si="40"/>
        <v>0</v>
      </c>
      <c r="Q271" s="67">
        <f>-PV(BondCalculator!$B$9/12,B271,0,1,0)</f>
        <v>0.26272139971274194</v>
      </c>
      <c r="S271" s="68">
        <f t="shared" si="41"/>
        <v>0</v>
      </c>
    </row>
    <row r="272" spans="1:19" ht="15" customHeight="1">
      <c r="A272" s="63" t="s">
        <v>118</v>
      </c>
      <c r="B272" s="74">
        <v>269</v>
      </c>
      <c r="C272" s="64">
        <f t="shared" si="44"/>
        <v>0</v>
      </c>
      <c r="D272" s="64">
        <f>IF(G271=0,0,IF(G271&lt;BondCalculator!$B$12,G271+E272,BondCalculator!$B$12))</f>
        <v>0</v>
      </c>
      <c r="E272" s="64">
        <f>C272*BondCalculator!$B$5/12</f>
        <v>0</v>
      </c>
      <c r="F272" s="64">
        <f t="shared" si="36"/>
        <v>0</v>
      </c>
      <c r="G272" s="64">
        <f t="shared" si="42"/>
        <v>0</v>
      </c>
      <c r="H272" s="76">
        <f t="shared" si="43"/>
        <v>0</v>
      </c>
      <c r="J272" s="66">
        <f t="shared" si="37"/>
        <v>0</v>
      </c>
      <c r="K272" s="66">
        <f>IF(N271=0,0,IF(N271&lt;BondCalculator!$B$12+BondCalculator!$B$7,N271+L272,BondCalculator!$B$12+BondCalculator!$B$7))</f>
        <v>0</v>
      </c>
      <c r="L272" s="66">
        <f>J272*BondCalculator!$B$5/12</f>
        <v>0</v>
      </c>
      <c r="M272" s="66">
        <f t="shared" si="38"/>
        <v>0</v>
      </c>
      <c r="N272" s="66">
        <f t="shared" si="39"/>
        <v>0</v>
      </c>
      <c r="P272" s="66">
        <f t="shared" si="40"/>
        <v>0</v>
      </c>
      <c r="Q272" s="67">
        <f>-PV(BondCalculator!$B$9/12,B272,0,1,0)</f>
        <v>0.2614143280723801</v>
      </c>
      <c r="S272" s="68">
        <f t="shared" si="41"/>
        <v>0</v>
      </c>
    </row>
    <row r="273" spans="1:19" ht="15" customHeight="1">
      <c r="A273" s="63" t="s">
        <v>118</v>
      </c>
      <c r="B273" s="74">
        <v>270</v>
      </c>
      <c r="C273" s="64">
        <f t="shared" si="44"/>
        <v>0</v>
      </c>
      <c r="D273" s="64">
        <f>IF(G272=0,0,IF(G272&lt;BondCalculator!$B$12,G272+E273,BondCalculator!$B$12))</f>
        <v>0</v>
      </c>
      <c r="E273" s="64">
        <f>C273*BondCalculator!$B$5/12</f>
        <v>0</v>
      </c>
      <c r="F273" s="64">
        <f t="shared" si="36"/>
        <v>0</v>
      </c>
      <c r="G273" s="64">
        <f t="shared" si="42"/>
        <v>0</v>
      </c>
      <c r="H273" s="76">
        <f t="shared" si="43"/>
        <v>0</v>
      </c>
      <c r="J273" s="66">
        <f t="shared" si="37"/>
        <v>0</v>
      </c>
      <c r="K273" s="66">
        <f>IF(N272=0,0,IF(N272&lt;BondCalculator!$B$12+BondCalculator!$B$7,N272+L273,BondCalculator!$B$12+BondCalculator!$B$7))</f>
        <v>0</v>
      </c>
      <c r="L273" s="66">
        <f>J273*BondCalculator!$B$5/12</f>
        <v>0</v>
      </c>
      <c r="M273" s="66">
        <f t="shared" si="38"/>
        <v>0</v>
      </c>
      <c r="N273" s="66">
        <f t="shared" si="39"/>
        <v>0</v>
      </c>
      <c r="P273" s="66">
        <f t="shared" si="40"/>
        <v>0</v>
      </c>
      <c r="Q273" s="67">
        <f>-PV(BondCalculator!$B$9/12,B273,0,1,0)</f>
        <v>0.26011375927600017</v>
      </c>
      <c r="S273" s="68">
        <f t="shared" si="41"/>
        <v>0</v>
      </c>
    </row>
    <row r="274" spans="1:19" ht="15" customHeight="1">
      <c r="A274" s="63" t="s">
        <v>118</v>
      </c>
      <c r="B274" s="74">
        <v>271</v>
      </c>
      <c r="C274" s="64">
        <f t="shared" si="44"/>
        <v>0</v>
      </c>
      <c r="D274" s="64">
        <f>IF(G273=0,0,IF(G273&lt;BondCalculator!$B$12,G273+E274,BondCalculator!$B$12))</f>
        <v>0</v>
      </c>
      <c r="E274" s="64">
        <f>C274*BondCalculator!$B$5/12</f>
        <v>0</v>
      </c>
      <c r="F274" s="64">
        <f t="shared" si="36"/>
        <v>0</v>
      </c>
      <c r="G274" s="64">
        <f t="shared" si="42"/>
        <v>0</v>
      </c>
      <c r="H274" s="76">
        <f t="shared" si="43"/>
        <v>0</v>
      </c>
      <c r="J274" s="66">
        <f t="shared" si="37"/>
        <v>0</v>
      </c>
      <c r="K274" s="66">
        <f>IF(N273=0,0,IF(N273&lt;BondCalculator!$B$12+BondCalculator!$B$7,N273+L274,BondCalculator!$B$12+BondCalculator!$B$7))</f>
        <v>0</v>
      </c>
      <c r="L274" s="66">
        <f>J274*BondCalculator!$B$5/12</f>
        <v>0</v>
      </c>
      <c r="M274" s="66">
        <f t="shared" si="38"/>
        <v>0</v>
      </c>
      <c r="N274" s="66">
        <f t="shared" si="39"/>
        <v>0</v>
      </c>
      <c r="P274" s="66">
        <f t="shared" si="40"/>
        <v>0</v>
      </c>
      <c r="Q274" s="67">
        <f>-PV(BondCalculator!$B$9/12,B274,0,1,0)</f>
        <v>0.2588196609711445</v>
      </c>
      <c r="S274" s="68">
        <f t="shared" si="41"/>
        <v>0</v>
      </c>
    </row>
    <row r="275" spans="1:19" ht="15" customHeight="1">
      <c r="A275" s="63" t="s">
        <v>118</v>
      </c>
      <c r="B275" s="74">
        <v>272</v>
      </c>
      <c r="C275" s="64">
        <f t="shared" si="44"/>
        <v>0</v>
      </c>
      <c r="D275" s="64">
        <f>IF(G274=0,0,IF(G274&lt;BondCalculator!$B$12,G274+E275,BondCalculator!$B$12))</f>
        <v>0</v>
      </c>
      <c r="E275" s="64">
        <f>C275*BondCalculator!$B$5/12</f>
        <v>0</v>
      </c>
      <c r="F275" s="64">
        <f t="shared" si="36"/>
        <v>0</v>
      </c>
      <c r="G275" s="64">
        <f t="shared" si="42"/>
        <v>0</v>
      </c>
      <c r="H275" s="76">
        <f t="shared" si="43"/>
        <v>0</v>
      </c>
      <c r="J275" s="66">
        <f t="shared" si="37"/>
        <v>0</v>
      </c>
      <c r="K275" s="66">
        <f>IF(N274=0,0,IF(N274&lt;BondCalculator!$B$12+BondCalculator!$B$7,N274+L275,BondCalculator!$B$12+BondCalculator!$B$7))</f>
        <v>0</v>
      </c>
      <c r="L275" s="66">
        <f>J275*BondCalculator!$B$5/12</f>
        <v>0</v>
      </c>
      <c r="M275" s="66">
        <f t="shared" si="38"/>
        <v>0</v>
      </c>
      <c r="N275" s="66">
        <f t="shared" si="39"/>
        <v>0</v>
      </c>
      <c r="P275" s="66">
        <f t="shared" si="40"/>
        <v>0</v>
      </c>
      <c r="Q275" s="67">
        <f>-PV(BondCalculator!$B$9/12,B275,0,1,0)</f>
        <v>0.25753200096631296</v>
      </c>
      <c r="S275" s="68">
        <f t="shared" si="41"/>
        <v>0</v>
      </c>
    </row>
    <row r="276" spans="1:19" ht="15" customHeight="1">
      <c r="A276" s="63" t="s">
        <v>118</v>
      </c>
      <c r="B276" s="74">
        <v>273</v>
      </c>
      <c r="C276" s="64">
        <f t="shared" si="44"/>
        <v>0</v>
      </c>
      <c r="D276" s="64">
        <f>IF(G275=0,0,IF(G275&lt;BondCalculator!$B$12,G275+E276,BondCalculator!$B$12))</f>
        <v>0</v>
      </c>
      <c r="E276" s="64">
        <f>C276*BondCalculator!$B$5/12</f>
        <v>0</v>
      </c>
      <c r="F276" s="64">
        <f t="shared" si="36"/>
        <v>0</v>
      </c>
      <c r="G276" s="64">
        <f t="shared" si="42"/>
        <v>0</v>
      </c>
      <c r="H276" s="76">
        <f t="shared" si="43"/>
        <v>0</v>
      </c>
      <c r="J276" s="66">
        <f t="shared" si="37"/>
        <v>0</v>
      </c>
      <c r="K276" s="66">
        <f>IF(N275=0,0,IF(N275&lt;BondCalculator!$B$12+BondCalculator!$B$7,N275+L276,BondCalculator!$B$12+BondCalculator!$B$7))</f>
        <v>0</v>
      </c>
      <c r="L276" s="66">
        <f>J276*BondCalculator!$B$5/12</f>
        <v>0</v>
      </c>
      <c r="M276" s="66">
        <f t="shared" si="38"/>
        <v>0</v>
      </c>
      <c r="N276" s="66">
        <f t="shared" si="39"/>
        <v>0</v>
      </c>
      <c r="P276" s="66">
        <f t="shared" si="40"/>
        <v>0</v>
      </c>
      <c r="Q276" s="67">
        <f>-PV(BondCalculator!$B$9/12,B276,0,1,0)</f>
        <v>0.25625074723016217</v>
      </c>
      <c r="S276" s="68">
        <f t="shared" si="41"/>
        <v>0</v>
      </c>
    </row>
    <row r="277" spans="1:19" ht="15" customHeight="1">
      <c r="A277" s="63" t="s">
        <v>118</v>
      </c>
      <c r="B277" s="74">
        <v>274</v>
      </c>
      <c r="C277" s="64">
        <f t="shared" si="44"/>
        <v>0</v>
      </c>
      <c r="D277" s="64">
        <f>IF(G276=0,0,IF(G276&lt;BondCalculator!$B$12,G276+E277,BondCalculator!$B$12))</f>
        <v>0</v>
      </c>
      <c r="E277" s="64">
        <f>C277*BondCalculator!$B$5/12</f>
        <v>0</v>
      </c>
      <c r="F277" s="64">
        <f t="shared" si="36"/>
        <v>0</v>
      </c>
      <c r="G277" s="64">
        <f t="shared" si="42"/>
        <v>0</v>
      </c>
      <c r="H277" s="76">
        <f t="shared" si="43"/>
        <v>0</v>
      </c>
      <c r="J277" s="66">
        <f t="shared" si="37"/>
        <v>0</v>
      </c>
      <c r="K277" s="66">
        <f>IF(N276=0,0,IF(N276&lt;BondCalculator!$B$12+BondCalculator!$B$7,N276+L277,BondCalculator!$B$12+BondCalculator!$B$7))</f>
        <v>0</v>
      </c>
      <c r="L277" s="66">
        <f>J277*BondCalculator!$B$5/12</f>
        <v>0</v>
      </c>
      <c r="M277" s="66">
        <f t="shared" si="38"/>
        <v>0</v>
      </c>
      <c r="N277" s="66">
        <f t="shared" si="39"/>
        <v>0</v>
      </c>
      <c r="P277" s="66">
        <f t="shared" si="40"/>
        <v>0</v>
      </c>
      <c r="Q277" s="67">
        <f>-PV(BondCalculator!$B$9/12,B277,0,1,0)</f>
        <v>0.25497586789070864</v>
      </c>
      <c r="S277" s="68">
        <f t="shared" si="41"/>
        <v>0</v>
      </c>
    </row>
    <row r="278" spans="1:19" ht="15" customHeight="1">
      <c r="A278" s="63" t="s">
        <v>118</v>
      </c>
      <c r="B278" s="74">
        <v>275</v>
      </c>
      <c r="C278" s="64">
        <f t="shared" si="44"/>
        <v>0</v>
      </c>
      <c r="D278" s="64">
        <f>IF(G277=0,0,IF(G277&lt;BondCalculator!$B$12,G277+E278,BondCalculator!$B$12))</f>
        <v>0</v>
      </c>
      <c r="E278" s="64">
        <f>C278*BondCalculator!$B$5/12</f>
        <v>0</v>
      </c>
      <c r="F278" s="64">
        <f t="shared" si="36"/>
        <v>0</v>
      </c>
      <c r="G278" s="64">
        <f t="shared" si="42"/>
        <v>0</v>
      </c>
      <c r="H278" s="76">
        <f t="shared" si="43"/>
        <v>0</v>
      </c>
      <c r="J278" s="66">
        <f t="shared" si="37"/>
        <v>0</v>
      </c>
      <c r="K278" s="66">
        <f>IF(N277=0,0,IF(N277&lt;BondCalculator!$B$12+BondCalculator!$B$7,N277+L278,BondCalculator!$B$12+BondCalculator!$B$7))</f>
        <v>0</v>
      </c>
      <c r="L278" s="66">
        <f>J278*BondCalculator!$B$5/12</f>
        <v>0</v>
      </c>
      <c r="M278" s="66">
        <f t="shared" si="38"/>
        <v>0</v>
      </c>
      <c r="N278" s="66">
        <f t="shared" si="39"/>
        <v>0</v>
      </c>
      <c r="P278" s="66">
        <f t="shared" si="40"/>
        <v>0</v>
      </c>
      <c r="Q278" s="67">
        <f>-PV(BondCalculator!$B$9/12,B278,0,1,0)</f>
        <v>0.25370733123453604</v>
      </c>
      <c r="S278" s="68">
        <f t="shared" si="41"/>
        <v>0</v>
      </c>
    </row>
    <row r="279" spans="1:19" ht="15" customHeight="1">
      <c r="A279" s="63" t="s">
        <v>118</v>
      </c>
      <c r="B279" s="74">
        <v>276</v>
      </c>
      <c r="C279" s="64">
        <f t="shared" si="44"/>
        <v>0</v>
      </c>
      <c r="D279" s="64">
        <f>IF(G278=0,0,IF(G278&lt;BondCalculator!$B$12,G278+E279,BondCalculator!$B$12))</f>
        <v>0</v>
      </c>
      <c r="E279" s="64">
        <f>C279*BondCalculator!$B$5/12</f>
        <v>0</v>
      </c>
      <c r="F279" s="64">
        <f t="shared" si="36"/>
        <v>0</v>
      </c>
      <c r="G279" s="64">
        <f t="shared" si="42"/>
        <v>0</v>
      </c>
      <c r="H279" s="76">
        <f t="shared" si="43"/>
        <v>0</v>
      </c>
      <c r="J279" s="66">
        <f t="shared" si="37"/>
        <v>0</v>
      </c>
      <c r="K279" s="66">
        <f>IF(N278=0,0,IF(N278&lt;BondCalculator!$B$12+BondCalculator!$B$7,N278+L279,BondCalculator!$B$12+BondCalculator!$B$7))</f>
        <v>0</v>
      </c>
      <c r="L279" s="66">
        <f>J279*BondCalculator!$B$5/12</f>
        <v>0</v>
      </c>
      <c r="M279" s="66">
        <f t="shared" si="38"/>
        <v>0</v>
      </c>
      <c r="N279" s="66">
        <f t="shared" si="39"/>
        <v>0</v>
      </c>
      <c r="P279" s="66">
        <f t="shared" si="40"/>
        <v>0</v>
      </c>
      <c r="Q279" s="67">
        <f>-PV(BondCalculator!$B$9/12,B279,0,1,0)</f>
        <v>0.25244510570600603</v>
      </c>
      <c r="S279" s="68">
        <f t="shared" si="41"/>
        <v>0</v>
      </c>
    </row>
    <row r="280" spans="1:19" ht="15" customHeight="1">
      <c r="A280" s="63" t="s">
        <v>119</v>
      </c>
      <c r="B280" s="74">
        <v>277</v>
      </c>
      <c r="C280" s="64">
        <f t="shared" si="44"/>
        <v>0</v>
      </c>
      <c r="D280" s="64">
        <f>IF(G279=0,0,IF(G279&lt;BondCalculator!$B$12,G279+E280,BondCalculator!$B$12))</f>
        <v>0</v>
      </c>
      <c r="E280" s="64">
        <f>C280*BondCalculator!$B$5/12</f>
        <v>0</v>
      </c>
      <c r="F280" s="64">
        <f t="shared" si="36"/>
        <v>0</v>
      </c>
      <c r="G280" s="64">
        <f t="shared" si="42"/>
        <v>0</v>
      </c>
      <c r="H280" s="76">
        <f t="shared" si="43"/>
        <v>0</v>
      </c>
      <c r="J280" s="66">
        <f t="shared" si="37"/>
        <v>0</v>
      </c>
      <c r="K280" s="66">
        <f>IF(N279=0,0,IF(N279&lt;BondCalculator!$B$12+BondCalculator!$B$7,N279+L280,BondCalculator!$B$12+BondCalculator!$B$7))</f>
        <v>0</v>
      </c>
      <c r="L280" s="66">
        <f>J280*BondCalculator!$B$5/12</f>
        <v>0</v>
      </c>
      <c r="M280" s="66">
        <f t="shared" si="38"/>
        <v>0</v>
      </c>
      <c r="N280" s="66">
        <f t="shared" si="39"/>
        <v>0</v>
      </c>
      <c r="P280" s="66">
        <f t="shared" si="40"/>
        <v>0</v>
      </c>
      <c r="Q280" s="67">
        <f>-PV(BondCalculator!$B$9/12,B280,0,1,0)</f>
        <v>0.2511891599064737</v>
      </c>
      <c r="S280" s="68">
        <f t="shared" si="41"/>
        <v>0</v>
      </c>
    </row>
    <row r="281" spans="1:19" ht="15" customHeight="1">
      <c r="A281" s="63" t="s">
        <v>119</v>
      </c>
      <c r="B281" s="74">
        <v>278</v>
      </c>
      <c r="C281" s="64">
        <f t="shared" si="44"/>
        <v>0</v>
      </c>
      <c r="D281" s="64">
        <f>IF(G280=0,0,IF(G280&lt;BondCalculator!$B$12,G280+E281,BondCalculator!$B$12))</f>
        <v>0</v>
      </c>
      <c r="E281" s="64">
        <f>C281*BondCalculator!$B$5/12</f>
        <v>0</v>
      </c>
      <c r="F281" s="64">
        <f t="shared" si="36"/>
        <v>0</v>
      </c>
      <c r="G281" s="64">
        <f t="shared" si="42"/>
        <v>0</v>
      </c>
      <c r="H281" s="76">
        <f t="shared" si="43"/>
        <v>0</v>
      </c>
      <c r="J281" s="66">
        <f t="shared" si="37"/>
        <v>0</v>
      </c>
      <c r="K281" s="66">
        <f>IF(N280=0,0,IF(N280&lt;BondCalculator!$B$12+BondCalculator!$B$7,N280+L281,BondCalculator!$B$12+BondCalculator!$B$7))</f>
        <v>0</v>
      </c>
      <c r="L281" s="66">
        <f>J281*BondCalculator!$B$5/12</f>
        <v>0</v>
      </c>
      <c r="M281" s="66">
        <f t="shared" si="38"/>
        <v>0</v>
      </c>
      <c r="N281" s="66">
        <f t="shared" si="39"/>
        <v>0</v>
      </c>
      <c r="P281" s="66">
        <f t="shared" si="40"/>
        <v>0</v>
      </c>
      <c r="Q281" s="67">
        <f>-PV(BondCalculator!$B$9/12,B281,0,1,0)</f>
        <v>0.24993946259350622</v>
      </c>
      <c r="S281" s="68">
        <f t="shared" si="41"/>
        <v>0</v>
      </c>
    </row>
    <row r="282" spans="1:19" ht="15" customHeight="1">
      <c r="A282" s="63" t="s">
        <v>119</v>
      </c>
      <c r="B282" s="74">
        <v>279</v>
      </c>
      <c r="C282" s="64">
        <f t="shared" si="44"/>
        <v>0</v>
      </c>
      <c r="D282" s="64">
        <f>IF(G281=0,0,IF(G281&lt;BondCalculator!$B$12,G281+E282,BondCalculator!$B$12))</f>
        <v>0</v>
      </c>
      <c r="E282" s="64">
        <f>C282*BondCalculator!$B$5/12</f>
        <v>0</v>
      </c>
      <c r="F282" s="64">
        <f t="shared" si="36"/>
        <v>0</v>
      </c>
      <c r="G282" s="64">
        <f t="shared" si="42"/>
        <v>0</v>
      </c>
      <c r="H282" s="76">
        <f t="shared" si="43"/>
        <v>0</v>
      </c>
      <c r="J282" s="66">
        <f t="shared" si="37"/>
        <v>0</v>
      </c>
      <c r="K282" s="66">
        <f>IF(N281=0,0,IF(N281&lt;BondCalculator!$B$12+BondCalculator!$B$7,N281+L282,BondCalculator!$B$12+BondCalculator!$B$7))</f>
        <v>0</v>
      </c>
      <c r="L282" s="66">
        <f>J282*BondCalculator!$B$5/12</f>
        <v>0</v>
      </c>
      <c r="M282" s="66">
        <f t="shared" si="38"/>
        <v>0</v>
      </c>
      <c r="N282" s="66">
        <f t="shared" si="39"/>
        <v>0</v>
      </c>
      <c r="P282" s="66">
        <f t="shared" si="40"/>
        <v>0</v>
      </c>
      <c r="Q282" s="67">
        <f>-PV(BondCalculator!$B$9/12,B282,0,1,0)</f>
        <v>0.24869598268010576</v>
      </c>
      <c r="S282" s="68">
        <f t="shared" si="41"/>
        <v>0</v>
      </c>
    </row>
    <row r="283" spans="1:19" ht="15" customHeight="1">
      <c r="A283" s="63" t="s">
        <v>119</v>
      </c>
      <c r="B283" s="74">
        <v>280</v>
      </c>
      <c r="C283" s="64">
        <f t="shared" si="44"/>
        <v>0</v>
      </c>
      <c r="D283" s="64">
        <f>IF(G282=0,0,IF(G282&lt;BondCalculator!$B$12,G282+E283,BondCalculator!$B$12))</f>
        <v>0</v>
      </c>
      <c r="E283" s="64">
        <f>C283*BondCalculator!$B$5/12</f>
        <v>0</v>
      </c>
      <c r="F283" s="64">
        <f t="shared" si="36"/>
        <v>0</v>
      </c>
      <c r="G283" s="64">
        <f t="shared" si="42"/>
        <v>0</v>
      </c>
      <c r="H283" s="76">
        <f t="shared" si="43"/>
        <v>0</v>
      </c>
      <c r="J283" s="66">
        <f t="shared" si="37"/>
        <v>0</v>
      </c>
      <c r="K283" s="66">
        <f>IF(N282=0,0,IF(N282&lt;BondCalculator!$B$12+BondCalculator!$B$7,N282+L283,BondCalculator!$B$12+BondCalculator!$B$7))</f>
        <v>0</v>
      </c>
      <c r="L283" s="66">
        <f>J283*BondCalculator!$B$5/12</f>
        <v>0</v>
      </c>
      <c r="M283" s="66">
        <f t="shared" si="38"/>
        <v>0</v>
      </c>
      <c r="N283" s="66">
        <f t="shared" si="39"/>
        <v>0</v>
      </c>
      <c r="P283" s="66">
        <f t="shared" si="40"/>
        <v>0</v>
      </c>
      <c r="Q283" s="67">
        <f>-PV(BondCalculator!$B$9/12,B283,0,1,0)</f>
        <v>0.24745868923393602</v>
      </c>
      <c r="S283" s="68">
        <f t="shared" si="41"/>
        <v>0</v>
      </c>
    </row>
    <row r="284" spans="1:19" ht="15" customHeight="1">
      <c r="A284" s="63" t="s">
        <v>119</v>
      </c>
      <c r="B284" s="74">
        <v>281</v>
      </c>
      <c r="C284" s="64">
        <f t="shared" si="44"/>
        <v>0</v>
      </c>
      <c r="D284" s="64">
        <f>IF(G283=0,0,IF(G283&lt;BondCalculator!$B$12,G283+E284,BondCalculator!$B$12))</f>
        <v>0</v>
      </c>
      <c r="E284" s="64">
        <f>C284*BondCalculator!$B$5/12</f>
        <v>0</v>
      </c>
      <c r="F284" s="64">
        <f t="shared" si="36"/>
        <v>0</v>
      </c>
      <c r="G284" s="64">
        <f t="shared" si="42"/>
        <v>0</v>
      </c>
      <c r="H284" s="76">
        <f t="shared" si="43"/>
        <v>0</v>
      </c>
      <c r="J284" s="66">
        <f t="shared" si="37"/>
        <v>0</v>
      </c>
      <c r="K284" s="66">
        <f>IF(N283=0,0,IF(N283&lt;BondCalculator!$B$12+BondCalculator!$B$7,N283+L284,BondCalculator!$B$12+BondCalculator!$B$7))</f>
        <v>0</v>
      </c>
      <c r="L284" s="66">
        <f>J284*BondCalculator!$B$5/12</f>
        <v>0</v>
      </c>
      <c r="M284" s="66">
        <f t="shared" si="38"/>
        <v>0</v>
      </c>
      <c r="N284" s="66">
        <f t="shared" si="39"/>
        <v>0</v>
      </c>
      <c r="P284" s="66">
        <f t="shared" si="40"/>
        <v>0</v>
      </c>
      <c r="Q284" s="67">
        <f>-PV(BondCalculator!$B$9/12,B284,0,1,0)</f>
        <v>0.24622755147655334</v>
      </c>
      <c r="S284" s="68">
        <f t="shared" si="41"/>
        <v>0</v>
      </c>
    </row>
    <row r="285" spans="1:19" ht="15" customHeight="1">
      <c r="A285" s="63" t="s">
        <v>119</v>
      </c>
      <c r="B285" s="74">
        <v>282</v>
      </c>
      <c r="C285" s="64">
        <f t="shared" si="44"/>
        <v>0</v>
      </c>
      <c r="D285" s="64">
        <f>IF(G284=0,0,IF(G284&lt;BondCalculator!$B$12,G284+E285,BondCalculator!$B$12))</f>
        <v>0</v>
      </c>
      <c r="E285" s="64">
        <f>C285*BondCalculator!$B$5/12</f>
        <v>0</v>
      </c>
      <c r="F285" s="64">
        <f t="shared" si="36"/>
        <v>0</v>
      </c>
      <c r="G285" s="64">
        <f t="shared" si="42"/>
        <v>0</v>
      </c>
      <c r="H285" s="76">
        <f t="shared" si="43"/>
        <v>0</v>
      </c>
      <c r="J285" s="66">
        <f t="shared" si="37"/>
        <v>0</v>
      </c>
      <c r="K285" s="66">
        <f>IF(N284=0,0,IF(N284&lt;BondCalculator!$B$12+BondCalculator!$B$7,N284+L285,BondCalculator!$B$12+BondCalculator!$B$7))</f>
        <v>0</v>
      </c>
      <c r="L285" s="66">
        <f>J285*BondCalculator!$B$5/12</f>
        <v>0</v>
      </c>
      <c r="M285" s="66">
        <f t="shared" si="38"/>
        <v>0</v>
      </c>
      <c r="N285" s="66">
        <f t="shared" si="39"/>
        <v>0</v>
      </c>
      <c r="P285" s="66">
        <f t="shared" si="40"/>
        <v>0</v>
      </c>
      <c r="Q285" s="67">
        <f>-PV(BondCalculator!$B$9/12,B285,0,1,0)</f>
        <v>0.2450025387826401</v>
      </c>
      <c r="S285" s="68">
        <f t="shared" si="41"/>
        <v>0</v>
      </c>
    </row>
    <row r="286" spans="1:19" ht="15" customHeight="1">
      <c r="A286" s="63" t="s">
        <v>119</v>
      </c>
      <c r="B286" s="74">
        <v>283</v>
      </c>
      <c r="C286" s="64">
        <f t="shared" si="44"/>
        <v>0</v>
      </c>
      <c r="D286" s="64">
        <f>IF(G285=0,0,IF(G285&lt;BondCalculator!$B$12,G285+E286,BondCalculator!$B$12))</f>
        <v>0</v>
      </c>
      <c r="E286" s="64">
        <f>C286*BondCalculator!$B$5/12</f>
        <v>0</v>
      </c>
      <c r="F286" s="64">
        <f t="shared" si="36"/>
        <v>0</v>
      </c>
      <c r="G286" s="64">
        <f t="shared" si="42"/>
        <v>0</v>
      </c>
      <c r="H286" s="76">
        <f t="shared" si="43"/>
        <v>0</v>
      </c>
      <c r="J286" s="66">
        <f t="shared" si="37"/>
        <v>0</v>
      </c>
      <c r="K286" s="66">
        <f>IF(N285=0,0,IF(N285&lt;BondCalculator!$B$12+BondCalculator!$B$7,N285+L286,BondCalculator!$B$12+BondCalculator!$B$7))</f>
        <v>0</v>
      </c>
      <c r="L286" s="66">
        <f>J286*BondCalculator!$B$5/12</f>
        <v>0</v>
      </c>
      <c r="M286" s="66">
        <f t="shared" si="38"/>
        <v>0</v>
      </c>
      <c r="N286" s="66">
        <f t="shared" si="39"/>
        <v>0</v>
      </c>
      <c r="P286" s="66">
        <f t="shared" si="40"/>
        <v>0</v>
      </c>
      <c r="Q286" s="67">
        <f>-PV(BondCalculator!$B$9/12,B286,0,1,0)</f>
        <v>0.24378362067924397</v>
      </c>
      <c r="S286" s="68">
        <f t="shared" si="41"/>
        <v>0</v>
      </c>
    </row>
    <row r="287" spans="1:19" ht="15" customHeight="1">
      <c r="A287" s="63" t="s">
        <v>119</v>
      </c>
      <c r="B287" s="74">
        <v>284</v>
      </c>
      <c r="C287" s="64">
        <f t="shared" si="44"/>
        <v>0</v>
      </c>
      <c r="D287" s="64">
        <f>IF(G286=0,0,IF(G286&lt;BondCalculator!$B$12,G286+E287,BondCalculator!$B$12))</f>
        <v>0</v>
      </c>
      <c r="E287" s="64">
        <f>C287*BondCalculator!$B$5/12</f>
        <v>0</v>
      </c>
      <c r="F287" s="64">
        <f t="shared" si="36"/>
        <v>0</v>
      </c>
      <c r="G287" s="64">
        <f t="shared" si="42"/>
        <v>0</v>
      </c>
      <c r="H287" s="76">
        <f t="shared" si="43"/>
        <v>0</v>
      </c>
      <c r="J287" s="66">
        <f t="shared" si="37"/>
        <v>0</v>
      </c>
      <c r="K287" s="66">
        <f>IF(N286=0,0,IF(N286&lt;BondCalculator!$B$12+BondCalculator!$B$7,N286+L287,BondCalculator!$B$12+BondCalculator!$B$7))</f>
        <v>0</v>
      </c>
      <c r="L287" s="66">
        <f>J287*BondCalculator!$B$5/12</f>
        <v>0</v>
      </c>
      <c r="M287" s="66">
        <f t="shared" si="38"/>
        <v>0</v>
      </c>
      <c r="N287" s="66">
        <f t="shared" si="39"/>
        <v>0</v>
      </c>
      <c r="P287" s="66">
        <f t="shared" si="40"/>
        <v>0</v>
      </c>
      <c r="Q287" s="67">
        <f>-PV(BondCalculator!$B$9/12,B287,0,1,0)</f>
        <v>0.2425707668450189</v>
      </c>
      <c r="S287" s="68">
        <f t="shared" si="41"/>
        <v>0</v>
      </c>
    </row>
    <row r="288" spans="1:19" ht="15" customHeight="1">
      <c r="A288" s="63" t="s">
        <v>119</v>
      </c>
      <c r="B288" s="74">
        <v>285</v>
      </c>
      <c r="C288" s="64">
        <f t="shared" si="44"/>
        <v>0</v>
      </c>
      <c r="D288" s="64">
        <f>IF(G287=0,0,IF(G287&lt;BondCalculator!$B$12,G287+E288,BondCalculator!$B$12))</f>
        <v>0</v>
      </c>
      <c r="E288" s="64">
        <f>C288*BondCalculator!$B$5/12</f>
        <v>0</v>
      </c>
      <c r="F288" s="64">
        <f t="shared" si="36"/>
        <v>0</v>
      </c>
      <c r="G288" s="64">
        <f t="shared" si="42"/>
        <v>0</v>
      </c>
      <c r="H288" s="76">
        <f t="shared" si="43"/>
        <v>0</v>
      </c>
      <c r="J288" s="66">
        <f t="shared" si="37"/>
        <v>0</v>
      </c>
      <c r="K288" s="66">
        <f>IF(N287=0,0,IF(N287&lt;BondCalculator!$B$12+BondCalculator!$B$7,N287+L288,BondCalculator!$B$12+BondCalculator!$B$7))</f>
        <v>0</v>
      </c>
      <c r="L288" s="66">
        <f>J288*BondCalculator!$B$5/12</f>
        <v>0</v>
      </c>
      <c r="M288" s="66">
        <f t="shared" si="38"/>
        <v>0</v>
      </c>
      <c r="N288" s="66">
        <f t="shared" si="39"/>
        <v>0</v>
      </c>
      <c r="P288" s="66">
        <f t="shared" si="40"/>
        <v>0</v>
      </c>
      <c r="Q288" s="67">
        <f>-PV(BondCalculator!$B$9/12,B288,0,1,0)</f>
        <v>0.2413639471094716</v>
      </c>
      <c r="S288" s="68">
        <f t="shared" si="41"/>
        <v>0</v>
      </c>
    </row>
    <row r="289" spans="1:19" ht="15" customHeight="1">
      <c r="A289" s="63" t="s">
        <v>119</v>
      </c>
      <c r="B289" s="74">
        <v>286</v>
      </c>
      <c r="C289" s="64">
        <f t="shared" si="44"/>
        <v>0</v>
      </c>
      <c r="D289" s="64">
        <f>IF(G288=0,0,IF(G288&lt;BondCalculator!$B$12,G288+E289,BondCalculator!$B$12))</f>
        <v>0</v>
      </c>
      <c r="E289" s="64">
        <f>C289*BondCalculator!$B$5/12</f>
        <v>0</v>
      </c>
      <c r="F289" s="64">
        <f t="shared" si="36"/>
        <v>0</v>
      </c>
      <c r="G289" s="64">
        <f t="shared" si="42"/>
        <v>0</v>
      </c>
      <c r="H289" s="76">
        <f t="shared" si="43"/>
        <v>0</v>
      </c>
      <c r="J289" s="66">
        <f t="shared" si="37"/>
        <v>0</v>
      </c>
      <c r="K289" s="66">
        <f>IF(N288=0,0,IF(N288&lt;BondCalculator!$B$12+BondCalculator!$B$7,N288+L289,BondCalculator!$B$12+BondCalculator!$B$7))</f>
        <v>0</v>
      </c>
      <c r="L289" s="66">
        <f>J289*BondCalculator!$B$5/12</f>
        <v>0</v>
      </c>
      <c r="M289" s="66">
        <f t="shared" si="38"/>
        <v>0</v>
      </c>
      <c r="N289" s="66">
        <f t="shared" si="39"/>
        <v>0</v>
      </c>
      <c r="P289" s="66">
        <f t="shared" si="40"/>
        <v>0</v>
      </c>
      <c r="Q289" s="67">
        <f>-PV(BondCalculator!$B$9/12,B289,0,1,0)</f>
        <v>0.24016313145221058</v>
      </c>
      <c r="S289" s="68">
        <f t="shared" si="41"/>
        <v>0</v>
      </c>
    </row>
    <row r="290" spans="1:19" ht="15" customHeight="1">
      <c r="A290" s="63" t="s">
        <v>119</v>
      </c>
      <c r="B290" s="74">
        <v>287</v>
      </c>
      <c r="C290" s="64">
        <f t="shared" si="44"/>
        <v>0</v>
      </c>
      <c r="D290" s="64">
        <f>IF(G289=0,0,IF(G289&lt;BondCalculator!$B$12,G289+E290,BondCalculator!$B$12))</f>
        <v>0</v>
      </c>
      <c r="E290" s="64">
        <f>C290*BondCalculator!$B$5/12</f>
        <v>0</v>
      </c>
      <c r="F290" s="64">
        <f t="shared" si="36"/>
        <v>0</v>
      </c>
      <c r="G290" s="64">
        <f t="shared" si="42"/>
        <v>0</v>
      </c>
      <c r="H290" s="76">
        <f t="shared" si="43"/>
        <v>0</v>
      </c>
      <c r="J290" s="66">
        <f t="shared" si="37"/>
        <v>0</v>
      </c>
      <c r="K290" s="66">
        <f>IF(N289=0,0,IF(N289&lt;BondCalculator!$B$12+BondCalculator!$B$7,N289+L290,BondCalculator!$B$12+BondCalculator!$B$7))</f>
        <v>0</v>
      </c>
      <c r="L290" s="66">
        <f>J290*BondCalculator!$B$5/12</f>
        <v>0</v>
      </c>
      <c r="M290" s="66">
        <f t="shared" si="38"/>
        <v>0</v>
      </c>
      <c r="N290" s="66">
        <f t="shared" si="39"/>
        <v>0</v>
      </c>
      <c r="P290" s="66">
        <f t="shared" si="40"/>
        <v>0</v>
      </c>
      <c r="Q290" s="67">
        <f>-PV(BondCalculator!$B$9/12,B290,0,1,0)</f>
        <v>0.23896829000219963</v>
      </c>
      <c r="S290" s="68">
        <f t="shared" si="41"/>
        <v>0</v>
      </c>
    </row>
    <row r="291" spans="1:19" ht="15" customHeight="1">
      <c r="A291" s="63" t="s">
        <v>119</v>
      </c>
      <c r="B291" s="74">
        <v>288</v>
      </c>
      <c r="C291" s="64">
        <f t="shared" si="44"/>
        <v>0</v>
      </c>
      <c r="D291" s="64">
        <f>IF(G290=0,0,IF(G290&lt;BondCalculator!$B$12,G290+E291,BondCalculator!$B$12))</f>
        <v>0</v>
      </c>
      <c r="E291" s="64">
        <f>C291*BondCalculator!$B$5/12</f>
        <v>0</v>
      </c>
      <c r="F291" s="64">
        <f t="shared" si="36"/>
        <v>0</v>
      </c>
      <c r="G291" s="64">
        <f t="shared" si="42"/>
        <v>0</v>
      </c>
      <c r="H291" s="76">
        <f t="shared" si="43"/>
        <v>0</v>
      </c>
      <c r="J291" s="66">
        <f t="shared" si="37"/>
        <v>0</v>
      </c>
      <c r="K291" s="66">
        <f>IF(N290=0,0,IF(N290&lt;BondCalculator!$B$12+BondCalculator!$B$7,N290+L291,BondCalculator!$B$12+BondCalculator!$B$7))</f>
        <v>0</v>
      </c>
      <c r="L291" s="66">
        <f>J291*BondCalculator!$B$5/12</f>
        <v>0</v>
      </c>
      <c r="M291" s="66">
        <f t="shared" si="38"/>
        <v>0</v>
      </c>
      <c r="N291" s="66">
        <f t="shared" si="39"/>
        <v>0</v>
      </c>
      <c r="P291" s="66">
        <f t="shared" si="40"/>
        <v>0</v>
      </c>
      <c r="Q291" s="67">
        <f>-PV(BondCalculator!$B$9/12,B291,0,1,0)</f>
        <v>0.23777939303701462</v>
      </c>
      <c r="S291" s="68">
        <f t="shared" si="41"/>
        <v>0</v>
      </c>
    </row>
    <row r="292" spans="1:19" ht="15" customHeight="1">
      <c r="A292" s="63" t="s">
        <v>120</v>
      </c>
      <c r="B292" s="74">
        <v>289</v>
      </c>
      <c r="C292" s="64">
        <f t="shared" si="44"/>
        <v>0</v>
      </c>
      <c r="D292" s="64">
        <f>IF(G291=0,0,IF(G291&lt;BondCalculator!$B$12,G291+E292,BondCalculator!$B$12))</f>
        <v>0</v>
      </c>
      <c r="E292" s="64">
        <f>C292*BondCalculator!$B$5/12</f>
        <v>0</v>
      </c>
      <c r="F292" s="64">
        <f t="shared" si="36"/>
        <v>0</v>
      </c>
      <c r="G292" s="64">
        <f t="shared" si="42"/>
        <v>0</v>
      </c>
      <c r="H292" s="76">
        <f t="shared" si="43"/>
        <v>0</v>
      </c>
      <c r="J292" s="66">
        <f t="shared" si="37"/>
        <v>0</v>
      </c>
      <c r="K292" s="66">
        <f>IF(N291=0,0,IF(N291&lt;BondCalculator!$B$12+BondCalculator!$B$7,N291+L292,BondCalculator!$B$12+BondCalculator!$B$7))</f>
        <v>0</v>
      </c>
      <c r="L292" s="66">
        <f>J292*BondCalculator!$B$5/12</f>
        <v>0</v>
      </c>
      <c r="M292" s="66">
        <f t="shared" si="38"/>
        <v>0</v>
      </c>
      <c r="N292" s="66">
        <f t="shared" si="39"/>
        <v>0</v>
      </c>
      <c r="P292" s="66">
        <f t="shared" si="40"/>
        <v>0</v>
      </c>
      <c r="Q292" s="67">
        <f>-PV(BondCalculator!$B$9/12,B292,0,1,0)</f>
        <v>0.2365964109821041</v>
      </c>
      <c r="S292" s="68">
        <f t="shared" si="41"/>
        <v>0</v>
      </c>
    </row>
    <row r="293" spans="1:19" ht="15" customHeight="1">
      <c r="A293" s="63" t="s">
        <v>120</v>
      </c>
      <c r="B293" s="74">
        <v>290</v>
      </c>
      <c r="C293" s="64">
        <f t="shared" si="44"/>
        <v>0</v>
      </c>
      <c r="D293" s="64">
        <f>IF(G292=0,0,IF(G292&lt;BondCalculator!$B$12,G292+E293,BondCalculator!$B$12))</f>
        <v>0</v>
      </c>
      <c r="E293" s="64">
        <f>C293*BondCalculator!$B$5/12</f>
        <v>0</v>
      </c>
      <c r="F293" s="64">
        <f t="shared" si="36"/>
        <v>0</v>
      </c>
      <c r="G293" s="64">
        <f t="shared" si="42"/>
        <v>0</v>
      </c>
      <c r="H293" s="76">
        <f t="shared" si="43"/>
        <v>0</v>
      </c>
      <c r="J293" s="66">
        <f t="shared" si="37"/>
        <v>0</v>
      </c>
      <c r="K293" s="66">
        <f>IF(N292=0,0,IF(N292&lt;BondCalculator!$B$12+BondCalculator!$B$7,N292+L293,BondCalculator!$B$12+BondCalculator!$B$7))</f>
        <v>0</v>
      </c>
      <c r="L293" s="66">
        <f>J293*BondCalculator!$B$5/12</f>
        <v>0</v>
      </c>
      <c r="M293" s="66">
        <f t="shared" si="38"/>
        <v>0</v>
      </c>
      <c r="N293" s="66">
        <f t="shared" si="39"/>
        <v>0</v>
      </c>
      <c r="P293" s="66">
        <f t="shared" si="40"/>
        <v>0</v>
      </c>
      <c r="Q293" s="67">
        <f>-PV(BondCalculator!$B$9/12,B293,0,1,0)</f>
        <v>0.2354193144100539</v>
      </c>
      <c r="S293" s="68">
        <f t="shared" si="41"/>
        <v>0</v>
      </c>
    </row>
    <row r="294" spans="1:19" ht="15" customHeight="1">
      <c r="A294" s="63" t="s">
        <v>120</v>
      </c>
      <c r="B294" s="74">
        <v>291</v>
      </c>
      <c r="C294" s="64">
        <f t="shared" si="44"/>
        <v>0</v>
      </c>
      <c r="D294" s="64">
        <f>IF(G293=0,0,IF(G293&lt;BondCalculator!$B$12,G293+E294,BondCalculator!$B$12))</f>
        <v>0</v>
      </c>
      <c r="E294" s="64">
        <f>C294*BondCalculator!$B$5/12</f>
        <v>0</v>
      </c>
      <c r="F294" s="64">
        <f t="shared" si="36"/>
        <v>0</v>
      </c>
      <c r="G294" s="64">
        <f t="shared" si="42"/>
        <v>0</v>
      </c>
      <c r="H294" s="76">
        <f t="shared" si="43"/>
        <v>0</v>
      </c>
      <c r="J294" s="66">
        <f t="shared" si="37"/>
        <v>0</v>
      </c>
      <c r="K294" s="66">
        <f>IF(N293=0,0,IF(N293&lt;BondCalculator!$B$12+BondCalculator!$B$7,N293+L294,BondCalculator!$B$12+BondCalculator!$B$7))</f>
        <v>0</v>
      </c>
      <c r="L294" s="66">
        <f>J294*BondCalculator!$B$5/12</f>
        <v>0</v>
      </c>
      <c r="M294" s="66">
        <f t="shared" si="38"/>
        <v>0</v>
      </c>
      <c r="N294" s="66">
        <f t="shared" si="39"/>
        <v>0</v>
      </c>
      <c r="P294" s="66">
        <f t="shared" si="40"/>
        <v>0</v>
      </c>
      <c r="Q294" s="67">
        <f>-PV(BondCalculator!$B$9/12,B294,0,1,0)</f>
        <v>0.2342480740398546</v>
      </c>
      <c r="S294" s="68">
        <f t="shared" si="41"/>
        <v>0</v>
      </c>
    </row>
    <row r="295" spans="1:19" ht="15" customHeight="1">
      <c r="A295" s="63" t="s">
        <v>120</v>
      </c>
      <c r="B295" s="74">
        <v>292</v>
      </c>
      <c r="C295" s="64">
        <f t="shared" si="44"/>
        <v>0</v>
      </c>
      <c r="D295" s="64">
        <f>IF(G294=0,0,IF(G294&lt;BondCalculator!$B$12,G294+E295,BondCalculator!$B$12))</f>
        <v>0</v>
      </c>
      <c r="E295" s="64">
        <f>C295*BondCalculator!$B$5/12</f>
        <v>0</v>
      </c>
      <c r="F295" s="64">
        <f t="shared" si="36"/>
        <v>0</v>
      </c>
      <c r="G295" s="64">
        <f t="shared" si="42"/>
        <v>0</v>
      </c>
      <c r="H295" s="76">
        <f t="shared" si="43"/>
        <v>0</v>
      </c>
      <c r="J295" s="66">
        <f t="shared" si="37"/>
        <v>0</v>
      </c>
      <c r="K295" s="66">
        <f>IF(N294=0,0,IF(N294&lt;BondCalculator!$B$12+BondCalculator!$B$7,N294+L295,BondCalculator!$B$12+BondCalculator!$B$7))</f>
        <v>0</v>
      </c>
      <c r="L295" s="66">
        <f>J295*BondCalculator!$B$5/12</f>
        <v>0</v>
      </c>
      <c r="M295" s="66">
        <f t="shared" si="38"/>
        <v>0</v>
      </c>
      <c r="N295" s="66">
        <f t="shared" si="39"/>
        <v>0</v>
      </c>
      <c r="P295" s="66">
        <f t="shared" si="40"/>
        <v>0</v>
      </c>
      <c r="Q295" s="67">
        <f>-PV(BondCalculator!$B$9/12,B295,0,1,0)</f>
        <v>0.2330826607361738</v>
      </c>
      <c r="S295" s="68">
        <f t="shared" si="41"/>
        <v>0</v>
      </c>
    </row>
    <row r="296" spans="1:19" ht="15" customHeight="1">
      <c r="A296" s="63" t="s">
        <v>120</v>
      </c>
      <c r="B296" s="74">
        <v>293</v>
      </c>
      <c r="C296" s="64">
        <f t="shared" si="44"/>
        <v>0</v>
      </c>
      <c r="D296" s="64">
        <f>IF(G295=0,0,IF(G295&lt;BondCalculator!$B$12,G295+E296,BondCalculator!$B$12))</f>
        <v>0</v>
      </c>
      <c r="E296" s="64">
        <f>C296*BondCalculator!$B$5/12</f>
        <v>0</v>
      </c>
      <c r="F296" s="64">
        <f t="shared" si="36"/>
        <v>0</v>
      </c>
      <c r="G296" s="64">
        <f t="shared" si="42"/>
        <v>0</v>
      </c>
      <c r="H296" s="76">
        <f t="shared" si="43"/>
        <v>0</v>
      </c>
      <c r="J296" s="66">
        <f t="shared" si="37"/>
        <v>0</v>
      </c>
      <c r="K296" s="66">
        <f>IF(N295=0,0,IF(N295&lt;BondCalculator!$B$12+BondCalculator!$B$7,N295+L296,BondCalculator!$B$12+BondCalculator!$B$7))</f>
        <v>0</v>
      </c>
      <c r="L296" s="66">
        <f>J296*BondCalculator!$B$5/12</f>
        <v>0</v>
      </c>
      <c r="M296" s="66">
        <f t="shared" si="38"/>
        <v>0</v>
      </c>
      <c r="N296" s="66">
        <f t="shared" si="39"/>
        <v>0</v>
      </c>
      <c r="P296" s="66">
        <f t="shared" si="40"/>
        <v>0</v>
      </c>
      <c r="Q296" s="67">
        <f>-PV(BondCalculator!$B$9/12,B296,0,1,0)</f>
        <v>0.23192304550863074</v>
      </c>
      <c r="S296" s="68">
        <f t="shared" si="41"/>
        <v>0</v>
      </c>
    </row>
    <row r="297" spans="1:19" ht="15" customHeight="1">
      <c r="A297" s="63" t="s">
        <v>120</v>
      </c>
      <c r="B297" s="74">
        <v>294</v>
      </c>
      <c r="C297" s="64">
        <f t="shared" si="44"/>
        <v>0</v>
      </c>
      <c r="D297" s="64">
        <f>IF(G296=0,0,IF(G296&lt;BondCalculator!$B$12,G296+E297,BondCalculator!$B$12))</f>
        <v>0</v>
      </c>
      <c r="E297" s="64">
        <f>C297*BondCalculator!$B$5/12</f>
        <v>0</v>
      </c>
      <c r="F297" s="64">
        <f t="shared" si="36"/>
        <v>0</v>
      </c>
      <c r="G297" s="64">
        <f t="shared" si="42"/>
        <v>0</v>
      </c>
      <c r="H297" s="76">
        <f t="shared" si="43"/>
        <v>0</v>
      </c>
      <c r="J297" s="66">
        <f t="shared" si="37"/>
        <v>0</v>
      </c>
      <c r="K297" s="66">
        <f>IF(N296=0,0,IF(N296&lt;BondCalculator!$B$12+BondCalculator!$B$7,N296+L297,BondCalculator!$B$12+BondCalculator!$B$7))</f>
        <v>0</v>
      </c>
      <c r="L297" s="66">
        <f>J297*BondCalculator!$B$5/12</f>
        <v>0</v>
      </c>
      <c r="M297" s="66">
        <f t="shared" si="38"/>
        <v>0</v>
      </c>
      <c r="N297" s="66">
        <f t="shared" si="39"/>
        <v>0</v>
      </c>
      <c r="P297" s="66">
        <f t="shared" si="40"/>
        <v>0</v>
      </c>
      <c r="Q297" s="67">
        <f>-PV(BondCalculator!$B$9/12,B297,0,1,0)</f>
        <v>0.23076919951107536</v>
      </c>
      <c r="S297" s="68">
        <f t="shared" si="41"/>
        <v>0</v>
      </c>
    </row>
    <row r="298" spans="1:19" ht="15" customHeight="1">
      <c r="A298" s="63" t="s">
        <v>120</v>
      </c>
      <c r="B298" s="74">
        <v>295</v>
      </c>
      <c r="C298" s="64">
        <f t="shared" si="44"/>
        <v>0</v>
      </c>
      <c r="D298" s="64">
        <f>IF(G297=0,0,IF(G297&lt;BondCalculator!$B$12,G297+E298,BondCalculator!$B$12))</f>
        <v>0</v>
      </c>
      <c r="E298" s="64">
        <f>C298*BondCalculator!$B$5/12</f>
        <v>0</v>
      </c>
      <c r="F298" s="64">
        <f t="shared" si="36"/>
        <v>0</v>
      </c>
      <c r="G298" s="64">
        <f t="shared" si="42"/>
        <v>0</v>
      </c>
      <c r="H298" s="76">
        <f t="shared" si="43"/>
        <v>0</v>
      </c>
      <c r="J298" s="66">
        <f t="shared" si="37"/>
        <v>0</v>
      </c>
      <c r="K298" s="66">
        <f>IF(N297=0,0,IF(N297&lt;BondCalculator!$B$12+BondCalculator!$B$7,N297+L298,BondCalculator!$B$12+BondCalculator!$B$7))</f>
        <v>0</v>
      </c>
      <c r="L298" s="66">
        <f>J298*BondCalculator!$B$5/12</f>
        <v>0</v>
      </c>
      <c r="M298" s="66">
        <f t="shared" si="38"/>
        <v>0</v>
      </c>
      <c r="N298" s="66">
        <f t="shared" si="39"/>
        <v>0</v>
      </c>
      <c r="P298" s="66">
        <f t="shared" si="40"/>
        <v>0</v>
      </c>
      <c r="Q298" s="67">
        <f>-PV(BondCalculator!$B$9/12,B298,0,1,0)</f>
        <v>0.22962109404087103</v>
      </c>
      <c r="S298" s="68">
        <f t="shared" si="41"/>
        <v>0</v>
      </c>
    </row>
    <row r="299" spans="1:19" ht="15" customHeight="1">
      <c r="A299" s="63" t="s">
        <v>120</v>
      </c>
      <c r="B299" s="74">
        <v>296</v>
      </c>
      <c r="C299" s="64">
        <f t="shared" si="44"/>
        <v>0</v>
      </c>
      <c r="D299" s="64">
        <f>IF(G298=0,0,IF(G298&lt;BondCalculator!$B$12,G298+E299,BondCalculator!$B$12))</f>
        <v>0</v>
      </c>
      <c r="E299" s="64">
        <f>C299*BondCalculator!$B$5/12</f>
        <v>0</v>
      </c>
      <c r="F299" s="64">
        <f t="shared" si="36"/>
        <v>0</v>
      </c>
      <c r="G299" s="64">
        <f t="shared" si="42"/>
        <v>0</v>
      </c>
      <c r="H299" s="76">
        <f t="shared" si="43"/>
        <v>0</v>
      </c>
      <c r="J299" s="66">
        <f t="shared" si="37"/>
        <v>0</v>
      </c>
      <c r="K299" s="66">
        <f>IF(N298=0,0,IF(N298&lt;BondCalculator!$B$12+BondCalculator!$B$7,N298+L299,BondCalculator!$B$12+BondCalculator!$B$7))</f>
        <v>0</v>
      </c>
      <c r="L299" s="66">
        <f>J299*BondCalculator!$B$5/12</f>
        <v>0</v>
      </c>
      <c r="M299" s="66">
        <f t="shared" si="38"/>
        <v>0</v>
      </c>
      <c r="N299" s="66">
        <f t="shared" si="39"/>
        <v>0</v>
      </c>
      <c r="P299" s="66">
        <f t="shared" si="40"/>
        <v>0</v>
      </c>
      <c r="Q299" s="67">
        <f>-PV(BondCalculator!$B$9/12,B299,0,1,0)</f>
        <v>0.22847870053818015</v>
      </c>
      <c r="S299" s="68">
        <f t="shared" si="41"/>
        <v>0</v>
      </c>
    </row>
    <row r="300" spans="1:19" ht="15" customHeight="1">
      <c r="A300" s="63" t="s">
        <v>120</v>
      </c>
      <c r="B300" s="74">
        <v>297</v>
      </c>
      <c r="C300" s="64">
        <f t="shared" si="44"/>
        <v>0</v>
      </c>
      <c r="D300" s="64">
        <f>IF(G299=0,0,IF(G299&lt;BondCalculator!$B$12,G299+E300,BondCalculator!$B$12))</f>
        <v>0</v>
      </c>
      <c r="E300" s="64">
        <f>C300*BondCalculator!$B$5/12</f>
        <v>0</v>
      </c>
      <c r="F300" s="64">
        <f t="shared" si="36"/>
        <v>0</v>
      </c>
      <c r="G300" s="64">
        <f t="shared" si="42"/>
        <v>0</v>
      </c>
      <c r="H300" s="76">
        <f t="shared" si="43"/>
        <v>0</v>
      </c>
      <c r="J300" s="66">
        <f t="shared" si="37"/>
        <v>0</v>
      </c>
      <c r="K300" s="66">
        <f>IF(N299=0,0,IF(N299&lt;BondCalculator!$B$12+BondCalculator!$B$7,N299+L300,BondCalculator!$B$12+BondCalculator!$B$7))</f>
        <v>0</v>
      </c>
      <c r="L300" s="66">
        <f>J300*BondCalculator!$B$5/12</f>
        <v>0</v>
      </c>
      <c r="M300" s="66">
        <f t="shared" si="38"/>
        <v>0</v>
      </c>
      <c r="N300" s="66">
        <f t="shared" si="39"/>
        <v>0</v>
      </c>
      <c r="P300" s="66">
        <f t="shared" si="40"/>
        <v>0</v>
      </c>
      <c r="Q300" s="67">
        <f>-PV(BondCalculator!$B$9/12,B300,0,1,0)</f>
        <v>0.2273419905852539</v>
      </c>
      <c r="S300" s="68">
        <f t="shared" si="41"/>
        <v>0</v>
      </c>
    </row>
    <row r="301" spans="1:19" ht="15" customHeight="1">
      <c r="A301" s="63" t="s">
        <v>120</v>
      </c>
      <c r="B301" s="74">
        <v>298</v>
      </c>
      <c r="C301" s="64">
        <f t="shared" si="44"/>
        <v>0</v>
      </c>
      <c r="D301" s="64">
        <f>IF(G300=0,0,IF(G300&lt;BondCalculator!$B$12,G300+E301,BondCalculator!$B$12))</f>
        <v>0</v>
      </c>
      <c r="E301" s="64">
        <f>C301*BondCalculator!$B$5/12</f>
        <v>0</v>
      </c>
      <c r="F301" s="64">
        <f t="shared" si="36"/>
        <v>0</v>
      </c>
      <c r="G301" s="64">
        <f t="shared" si="42"/>
        <v>0</v>
      </c>
      <c r="H301" s="76">
        <f t="shared" si="43"/>
        <v>0</v>
      </c>
      <c r="J301" s="66">
        <f t="shared" si="37"/>
        <v>0</v>
      </c>
      <c r="K301" s="66">
        <f>IF(N300=0,0,IF(N300&lt;BondCalculator!$B$12+BondCalculator!$B$7,N300+L301,BondCalculator!$B$12+BondCalculator!$B$7))</f>
        <v>0</v>
      </c>
      <c r="L301" s="66">
        <f>J301*BondCalculator!$B$5/12</f>
        <v>0</v>
      </c>
      <c r="M301" s="66">
        <f t="shared" si="38"/>
        <v>0</v>
      </c>
      <c r="N301" s="66">
        <f t="shared" si="39"/>
        <v>0</v>
      </c>
      <c r="P301" s="66">
        <f t="shared" si="40"/>
        <v>0</v>
      </c>
      <c r="Q301" s="67">
        <f>-PV(BondCalculator!$B$9/12,B301,0,1,0)</f>
        <v>0.22621093590572533</v>
      </c>
      <c r="S301" s="68">
        <f t="shared" si="41"/>
        <v>0</v>
      </c>
    </row>
    <row r="302" spans="1:19" ht="15" customHeight="1">
      <c r="A302" s="63" t="s">
        <v>120</v>
      </c>
      <c r="B302" s="74">
        <v>299</v>
      </c>
      <c r="C302" s="64">
        <f t="shared" si="44"/>
        <v>0</v>
      </c>
      <c r="D302" s="64">
        <f>IF(G301=0,0,IF(G301&lt;BondCalculator!$B$12,G301+E302,BondCalculator!$B$12))</f>
        <v>0</v>
      </c>
      <c r="E302" s="64">
        <f>C302*BondCalculator!$B$5/12</f>
        <v>0</v>
      </c>
      <c r="F302" s="64">
        <f t="shared" si="36"/>
        <v>0</v>
      </c>
      <c r="G302" s="64">
        <f t="shared" si="42"/>
        <v>0</v>
      </c>
      <c r="H302" s="76">
        <f t="shared" si="43"/>
        <v>0</v>
      </c>
      <c r="J302" s="66">
        <f t="shared" si="37"/>
        <v>0</v>
      </c>
      <c r="K302" s="66">
        <f>IF(N301=0,0,IF(N301&lt;BondCalculator!$B$12+BondCalculator!$B$7,N301+L302,BondCalculator!$B$12+BondCalculator!$B$7))</f>
        <v>0</v>
      </c>
      <c r="L302" s="66">
        <f>J302*BondCalculator!$B$5/12</f>
        <v>0</v>
      </c>
      <c r="M302" s="66">
        <f t="shared" si="38"/>
        <v>0</v>
      </c>
      <c r="N302" s="66">
        <f t="shared" si="39"/>
        <v>0</v>
      </c>
      <c r="P302" s="66">
        <f t="shared" si="40"/>
        <v>0</v>
      </c>
      <c r="Q302" s="67">
        <f>-PV(BondCalculator!$B$9/12,B302,0,1,0)</f>
        <v>0.2250855083639058</v>
      </c>
      <c r="S302" s="68">
        <f t="shared" si="41"/>
        <v>0</v>
      </c>
    </row>
    <row r="303" spans="1:19" ht="15" customHeight="1">
      <c r="A303" s="63" t="s">
        <v>120</v>
      </c>
      <c r="B303" s="74">
        <v>300</v>
      </c>
      <c r="C303" s="64">
        <f t="shared" si="44"/>
        <v>0</v>
      </c>
      <c r="D303" s="64">
        <f>IF(G302=0,0,IF(G302&lt;BondCalculator!$B$12,G302+E303,BondCalculator!$B$12))</f>
        <v>0</v>
      </c>
      <c r="E303" s="64">
        <f>C303*BondCalculator!$B$5/12</f>
        <v>0</v>
      </c>
      <c r="F303" s="64">
        <f t="shared" si="36"/>
        <v>0</v>
      </c>
      <c r="G303" s="64">
        <f t="shared" si="42"/>
        <v>0</v>
      </c>
      <c r="H303" s="76">
        <f t="shared" si="43"/>
        <v>0</v>
      </c>
      <c r="J303" s="66">
        <f t="shared" si="37"/>
        <v>0</v>
      </c>
      <c r="K303" s="66">
        <f>IF(N302=0,0,IF(N302&lt;BondCalculator!$B$12+BondCalculator!$B$7,N302+L303,BondCalculator!$B$12+BondCalculator!$B$7))</f>
        <v>0</v>
      </c>
      <c r="L303" s="66">
        <f>J303*BondCalculator!$B$5/12</f>
        <v>0</v>
      </c>
      <c r="M303" s="66">
        <f t="shared" si="38"/>
        <v>0</v>
      </c>
      <c r="N303" s="66">
        <f t="shared" si="39"/>
        <v>0</v>
      </c>
      <c r="P303" s="66">
        <f t="shared" si="40"/>
        <v>0</v>
      </c>
      <c r="Q303" s="67">
        <f>-PV(BondCalculator!$B$9/12,B303,0,1,0)</f>
        <v>0.22396567996408542</v>
      </c>
      <c r="S303" s="68">
        <f t="shared" si="41"/>
        <v>0</v>
      </c>
    </row>
    <row r="304" spans="1:19" ht="15" customHeight="1">
      <c r="A304" s="63" t="s">
        <v>121</v>
      </c>
      <c r="B304" s="74">
        <v>301</v>
      </c>
      <c r="C304" s="64">
        <f t="shared" si="44"/>
        <v>0</v>
      </c>
      <c r="D304" s="64">
        <f>IF(G303=0,0,IF(G303&lt;BondCalculator!$B$12,G303+E304,BondCalculator!$B$12))</f>
        <v>0</v>
      </c>
      <c r="E304" s="64">
        <f>C304*BondCalculator!$B$5/12</f>
        <v>0</v>
      </c>
      <c r="F304" s="64">
        <f t="shared" si="36"/>
        <v>0</v>
      </c>
      <c r="G304" s="64">
        <f t="shared" si="42"/>
        <v>0</v>
      </c>
      <c r="H304" s="76">
        <f t="shared" si="43"/>
        <v>0</v>
      </c>
      <c r="J304" s="66">
        <f t="shared" si="37"/>
        <v>0</v>
      </c>
      <c r="K304" s="66">
        <f>IF(N303=0,0,IF(N303&lt;BondCalculator!$B$12+BondCalculator!$B$7,N303+L304,BondCalculator!$B$12+BondCalculator!$B$7))</f>
        <v>0</v>
      </c>
      <c r="L304" s="66">
        <f>J304*BondCalculator!$B$5/12</f>
        <v>0</v>
      </c>
      <c r="M304" s="66">
        <f t="shared" si="38"/>
        <v>0</v>
      </c>
      <c r="N304" s="66">
        <f t="shared" si="39"/>
        <v>0</v>
      </c>
      <c r="P304" s="66">
        <f t="shared" si="40"/>
        <v>0</v>
      </c>
      <c r="Q304" s="67">
        <f>-PV(BondCalculator!$B$9/12,B304,0,1,0)</f>
        <v>0.2228514228498363</v>
      </c>
      <c r="S304" s="68">
        <f t="shared" si="41"/>
        <v>0</v>
      </c>
    </row>
    <row r="305" spans="1:19" ht="15" customHeight="1">
      <c r="A305" s="63" t="s">
        <v>121</v>
      </c>
      <c r="B305" s="74">
        <v>302</v>
      </c>
      <c r="C305" s="64">
        <f t="shared" si="44"/>
        <v>0</v>
      </c>
      <c r="D305" s="64">
        <f>IF(G304=0,0,IF(G304&lt;BondCalculator!$B$12,G304+E305,BondCalculator!$B$12))</f>
        <v>0</v>
      </c>
      <c r="E305" s="64">
        <f>C305*BondCalculator!$B$5/12</f>
        <v>0</v>
      </c>
      <c r="F305" s="64">
        <f t="shared" si="36"/>
        <v>0</v>
      </c>
      <c r="G305" s="64">
        <f t="shared" si="42"/>
        <v>0</v>
      </c>
      <c r="H305" s="76">
        <f t="shared" si="43"/>
        <v>0</v>
      </c>
      <c r="J305" s="66">
        <f t="shared" si="37"/>
        <v>0</v>
      </c>
      <c r="K305" s="66">
        <f>IF(N304=0,0,IF(N304&lt;BondCalculator!$B$12+BondCalculator!$B$7,N304+L305,BondCalculator!$B$12+BondCalculator!$B$7))</f>
        <v>0</v>
      </c>
      <c r="L305" s="66">
        <f>J305*BondCalculator!$B$5/12</f>
        <v>0</v>
      </c>
      <c r="M305" s="66">
        <f t="shared" si="38"/>
        <v>0</v>
      </c>
      <c r="N305" s="66">
        <f t="shared" si="39"/>
        <v>0</v>
      </c>
      <c r="P305" s="66">
        <f t="shared" si="40"/>
        <v>0</v>
      </c>
      <c r="Q305" s="67">
        <f>-PV(BondCalculator!$B$9/12,B305,0,1,0)</f>
        <v>0.22174270930331974</v>
      </c>
      <c r="S305" s="68">
        <f t="shared" si="41"/>
        <v>0</v>
      </c>
    </row>
    <row r="306" spans="1:19" ht="15" customHeight="1">
      <c r="A306" s="63" t="s">
        <v>121</v>
      </c>
      <c r="B306" s="74">
        <v>303</v>
      </c>
      <c r="C306" s="64">
        <f t="shared" si="44"/>
        <v>0</v>
      </c>
      <c r="D306" s="64">
        <f>IF(G305=0,0,IF(G305&lt;BondCalculator!$B$12,G305+E306,BondCalculator!$B$12))</f>
        <v>0</v>
      </c>
      <c r="E306" s="64">
        <f>C306*BondCalculator!$B$5/12</f>
        <v>0</v>
      </c>
      <c r="F306" s="64">
        <f t="shared" si="36"/>
        <v>0</v>
      </c>
      <c r="G306" s="64">
        <f t="shared" si="42"/>
        <v>0</v>
      </c>
      <c r="H306" s="76">
        <f t="shared" si="43"/>
        <v>0</v>
      </c>
      <c r="J306" s="66">
        <f t="shared" si="37"/>
        <v>0</v>
      </c>
      <c r="K306" s="66">
        <f>IF(N305=0,0,IF(N305&lt;BondCalculator!$B$12+BondCalculator!$B$7,N305+L306,BondCalculator!$B$12+BondCalculator!$B$7))</f>
        <v>0</v>
      </c>
      <c r="L306" s="66">
        <f>J306*BondCalculator!$B$5/12</f>
        <v>0</v>
      </c>
      <c r="M306" s="66">
        <f t="shared" si="38"/>
        <v>0</v>
      </c>
      <c r="N306" s="66">
        <f t="shared" si="39"/>
        <v>0</v>
      </c>
      <c r="P306" s="66">
        <f t="shared" si="40"/>
        <v>0</v>
      </c>
      <c r="Q306" s="67">
        <f>-PV(BondCalculator!$B$9/12,B306,0,1,0)</f>
        <v>0.2206395117445968</v>
      </c>
      <c r="S306" s="68">
        <f t="shared" si="41"/>
        <v>0</v>
      </c>
    </row>
    <row r="307" spans="1:19" ht="15" customHeight="1">
      <c r="A307" s="63" t="s">
        <v>121</v>
      </c>
      <c r="B307" s="74">
        <v>304</v>
      </c>
      <c r="C307" s="64">
        <f t="shared" si="44"/>
        <v>0</v>
      </c>
      <c r="D307" s="64">
        <f>IF(G306=0,0,IF(G306&lt;BondCalculator!$B$12,G306+E307,BondCalculator!$B$12))</f>
        <v>0</v>
      </c>
      <c r="E307" s="64">
        <f>C307*BondCalculator!$B$5/12</f>
        <v>0</v>
      </c>
      <c r="F307" s="64">
        <f t="shared" si="36"/>
        <v>0</v>
      </c>
      <c r="G307" s="64">
        <f t="shared" si="42"/>
        <v>0</v>
      </c>
      <c r="H307" s="76">
        <f t="shared" si="43"/>
        <v>0</v>
      </c>
      <c r="J307" s="66">
        <f t="shared" si="37"/>
        <v>0</v>
      </c>
      <c r="K307" s="66">
        <f>IF(N306=0,0,IF(N306&lt;BondCalculator!$B$12+BondCalculator!$B$7,N306+L307,BondCalculator!$B$12+BondCalculator!$B$7))</f>
        <v>0</v>
      </c>
      <c r="L307" s="66">
        <f>J307*BondCalculator!$B$5/12</f>
        <v>0</v>
      </c>
      <c r="M307" s="66">
        <f t="shared" si="38"/>
        <v>0</v>
      </c>
      <c r="N307" s="66">
        <f t="shared" si="39"/>
        <v>0</v>
      </c>
      <c r="P307" s="66">
        <f t="shared" si="40"/>
        <v>0</v>
      </c>
      <c r="Q307" s="67">
        <f>-PV(BondCalculator!$B$9/12,B307,0,1,0)</f>
        <v>0.21954180273094215</v>
      </c>
      <c r="S307" s="68">
        <f t="shared" si="41"/>
        <v>0</v>
      </c>
    </row>
    <row r="308" spans="1:19" ht="15" customHeight="1">
      <c r="A308" s="63" t="s">
        <v>121</v>
      </c>
      <c r="B308" s="74">
        <v>305</v>
      </c>
      <c r="C308" s="64">
        <f t="shared" si="44"/>
        <v>0</v>
      </c>
      <c r="D308" s="64">
        <f>IF(G307=0,0,IF(G307&lt;BondCalculator!$B$12,G307+E308,BondCalculator!$B$12))</f>
        <v>0</v>
      </c>
      <c r="E308" s="64">
        <f>C308*BondCalculator!$B$5/12</f>
        <v>0</v>
      </c>
      <c r="F308" s="64">
        <f aca="true" t="shared" si="45" ref="F308:F363">D308-E308</f>
        <v>0</v>
      </c>
      <c r="G308" s="64">
        <f t="shared" si="42"/>
        <v>0</v>
      </c>
      <c r="H308" s="76">
        <f t="shared" si="43"/>
        <v>0</v>
      </c>
      <c r="J308" s="66">
        <f aca="true" t="shared" si="46" ref="J308:J363">IF(ROUND(N307,0)&gt;0,N307,0)</f>
        <v>0</v>
      </c>
      <c r="K308" s="66">
        <f>IF(N307=0,0,IF(N307&lt;BondCalculator!$B$12+BondCalculator!$B$7,N307+L308,BondCalculator!$B$12+BondCalculator!$B$7))</f>
        <v>0</v>
      </c>
      <c r="L308" s="66">
        <f>J308*BondCalculator!$B$5/12</f>
        <v>0</v>
      </c>
      <c r="M308" s="66">
        <f aca="true" t="shared" si="47" ref="M308:M363">IF(K308-L308&gt;N307,N307,K308-L308)</f>
        <v>0</v>
      </c>
      <c r="N308" s="66">
        <f aca="true" t="shared" si="48" ref="N308:N363">J308-M308</f>
        <v>0</v>
      </c>
      <c r="P308" s="66">
        <f aca="true" t="shared" si="49" ref="P308:P363">E308-L308</f>
        <v>0</v>
      </c>
      <c r="Q308" s="67">
        <f>-PV(BondCalculator!$B$9/12,B308,0,1,0)</f>
        <v>0.21844955495616133</v>
      </c>
      <c r="S308" s="68">
        <f t="shared" si="41"/>
        <v>0</v>
      </c>
    </row>
    <row r="309" spans="1:19" ht="15" customHeight="1">
      <c r="A309" s="63" t="s">
        <v>121</v>
      </c>
      <c r="B309" s="74">
        <v>306</v>
      </c>
      <c r="C309" s="64">
        <f t="shared" si="44"/>
        <v>0</v>
      </c>
      <c r="D309" s="64">
        <f>IF(G308=0,0,IF(G308&lt;BondCalculator!$B$12,G308+E309,BondCalculator!$B$12))</f>
        <v>0</v>
      </c>
      <c r="E309" s="64">
        <f>C309*BondCalculator!$B$5/12</f>
        <v>0</v>
      </c>
      <c r="F309" s="64">
        <f t="shared" si="45"/>
        <v>0</v>
      </c>
      <c r="G309" s="64">
        <f t="shared" si="42"/>
        <v>0</v>
      </c>
      <c r="H309" s="76">
        <f t="shared" si="43"/>
        <v>0</v>
      </c>
      <c r="J309" s="66">
        <f t="shared" si="46"/>
        <v>0</v>
      </c>
      <c r="K309" s="66">
        <f>IF(N308=0,0,IF(N308&lt;BondCalculator!$B$12+BondCalculator!$B$7,N308+L309,BondCalculator!$B$12+BondCalculator!$B$7))</f>
        <v>0</v>
      </c>
      <c r="L309" s="66">
        <f>J309*BondCalculator!$B$5/12</f>
        <v>0</v>
      </c>
      <c r="M309" s="66">
        <f t="shared" si="47"/>
        <v>0</v>
      </c>
      <c r="N309" s="66">
        <f t="shared" si="48"/>
        <v>0</v>
      </c>
      <c r="P309" s="66">
        <f t="shared" si="49"/>
        <v>0</v>
      </c>
      <c r="Q309" s="67">
        <f>-PV(BondCalculator!$B$9/12,B309,0,1,0)</f>
        <v>0.21736274124991184</v>
      </c>
      <c r="S309" s="68">
        <f t="shared" si="41"/>
        <v>0</v>
      </c>
    </row>
    <row r="310" spans="1:19" ht="15" customHeight="1">
      <c r="A310" s="63" t="s">
        <v>121</v>
      </c>
      <c r="B310" s="74">
        <v>307</v>
      </c>
      <c r="C310" s="64">
        <f t="shared" si="44"/>
        <v>0</v>
      </c>
      <c r="D310" s="64">
        <f>IF(G309=0,0,IF(G309&lt;BondCalculator!$B$12,G309+E310,BondCalculator!$B$12))</f>
        <v>0</v>
      </c>
      <c r="E310" s="64">
        <f>C310*BondCalculator!$B$5/12</f>
        <v>0</v>
      </c>
      <c r="F310" s="64">
        <f t="shared" si="45"/>
        <v>0</v>
      </c>
      <c r="G310" s="64">
        <f t="shared" si="42"/>
        <v>0</v>
      </c>
      <c r="H310" s="76">
        <f t="shared" si="43"/>
        <v>0</v>
      </c>
      <c r="J310" s="66">
        <f t="shared" si="46"/>
        <v>0</v>
      </c>
      <c r="K310" s="66">
        <f>IF(N309=0,0,IF(N309&lt;BondCalculator!$B$12+BondCalculator!$B$7,N309+L310,BondCalculator!$B$12+BondCalculator!$B$7))</f>
        <v>0</v>
      </c>
      <c r="L310" s="66">
        <f>J310*BondCalculator!$B$5/12</f>
        <v>0</v>
      </c>
      <c r="M310" s="66">
        <f t="shared" si="47"/>
        <v>0</v>
      </c>
      <c r="N310" s="66">
        <f t="shared" si="48"/>
        <v>0</v>
      </c>
      <c r="P310" s="66">
        <f t="shared" si="49"/>
        <v>0</v>
      </c>
      <c r="Q310" s="67">
        <f>-PV(BondCalculator!$B$9/12,B310,0,1,0)</f>
        <v>0.2162813345770267</v>
      </c>
      <c r="S310" s="68">
        <f t="shared" si="41"/>
        <v>0</v>
      </c>
    </row>
    <row r="311" spans="1:19" ht="15" customHeight="1">
      <c r="A311" s="63" t="s">
        <v>121</v>
      </c>
      <c r="B311" s="74">
        <v>308</v>
      </c>
      <c r="C311" s="64">
        <f t="shared" si="44"/>
        <v>0</v>
      </c>
      <c r="D311" s="64">
        <f>IF(G310=0,0,IF(G310&lt;BondCalculator!$B$12,G310+E311,BondCalculator!$B$12))</f>
        <v>0</v>
      </c>
      <c r="E311" s="64">
        <f>C311*BondCalculator!$B$5/12</f>
        <v>0</v>
      </c>
      <c r="F311" s="64">
        <f t="shared" si="45"/>
        <v>0</v>
      </c>
      <c r="G311" s="64">
        <f t="shared" si="42"/>
        <v>0</v>
      </c>
      <c r="H311" s="76">
        <f t="shared" si="43"/>
        <v>0</v>
      </c>
      <c r="J311" s="66">
        <f t="shared" si="46"/>
        <v>0</v>
      </c>
      <c r="K311" s="66">
        <f>IF(N310=0,0,IF(N310&lt;BondCalculator!$B$12+BondCalculator!$B$7,N310+L311,BondCalculator!$B$12+BondCalculator!$B$7))</f>
        <v>0</v>
      </c>
      <c r="L311" s="66">
        <f>J311*BondCalculator!$B$5/12</f>
        <v>0</v>
      </c>
      <c r="M311" s="66">
        <f t="shared" si="47"/>
        <v>0</v>
      </c>
      <c r="N311" s="66">
        <f t="shared" si="48"/>
        <v>0</v>
      </c>
      <c r="P311" s="66">
        <f t="shared" si="49"/>
        <v>0</v>
      </c>
      <c r="Q311" s="67">
        <f>-PV(BondCalculator!$B$9/12,B311,0,1,0)</f>
        <v>0.21520530803684254</v>
      </c>
      <c r="S311" s="68">
        <f t="shared" si="41"/>
        <v>0</v>
      </c>
    </row>
    <row r="312" spans="1:19" ht="15" customHeight="1">
      <c r="A312" s="63" t="s">
        <v>121</v>
      </c>
      <c r="B312" s="74">
        <v>309</v>
      </c>
      <c r="C312" s="64">
        <f t="shared" si="44"/>
        <v>0</v>
      </c>
      <c r="D312" s="64">
        <f>IF(G311=0,0,IF(G311&lt;BondCalculator!$B$12,G311+E312,BondCalculator!$B$12))</f>
        <v>0</v>
      </c>
      <c r="E312" s="64">
        <f>C312*BondCalculator!$B$5/12</f>
        <v>0</v>
      </c>
      <c r="F312" s="64">
        <f t="shared" si="45"/>
        <v>0</v>
      </c>
      <c r="G312" s="64">
        <f t="shared" si="42"/>
        <v>0</v>
      </c>
      <c r="H312" s="76">
        <f t="shared" si="43"/>
        <v>0</v>
      </c>
      <c r="J312" s="66">
        <f t="shared" si="46"/>
        <v>0</v>
      </c>
      <c r="K312" s="66">
        <f>IF(N311=0,0,IF(N311&lt;BondCalculator!$B$12+BondCalculator!$B$7,N311+L312,BondCalculator!$B$12+BondCalculator!$B$7))</f>
        <v>0</v>
      </c>
      <c r="L312" s="66">
        <f>J312*BondCalculator!$B$5/12</f>
        <v>0</v>
      </c>
      <c r="M312" s="66">
        <f t="shared" si="47"/>
        <v>0</v>
      </c>
      <c r="N312" s="66">
        <f t="shared" si="48"/>
        <v>0</v>
      </c>
      <c r="P312" s="66">
        <f t="shared" si="49"/>
        <v>0</v>
      </c>
      <c r="Q312" s="67">
        <f>-PV(BondCalculator!$B$9/12,B312,0,1,0)</f>
        <v>0.21413463486252993</v>
      </c>
      <c r="S312" s="68">
        <f t="shared" si="41"/>
        <v>0</v>
      </c>
    </row>
    <row r="313" spans="1:19" ht="15" customHeight="1">
      <c r="A313" s="63" t="s">
        <v>121</v>
      </c>
      <c r="B313" s="74">
        <v>310</v>
      </c>
      <c r="C313" s="64">
        <f t="shared" si="44"/>
        <v>0</v>
      </c>
      <c r="D313" s="64">
        <f>IF(G312=0,0,IF(G312&lt;BondCalculator!$B$12,G312+E313,BondCalculator!$B$12))</f>
        <v>0</v>
      </c>
      <c r="E313" s="64">
        <f>C313*BondCalculator!$B$5/12</f>
        <v>0</v>
      </c>
      <c r="F313" s="64">
        <f t="shared" si="45"/>
        <v>0</v>
      </c>
      <c r="G313" s="64">
        <f t="shared" si="42"/>
        <v>0</v>
      </c>
      <c r="H313" s="76">
        <f t="shared" si="43"/>
        <v>0</v>
      </c>
      <c r="J313" s="66">
        <f t="shared" si="46"/>
        <v>0</v>
      </c>
      <c r="K313" s="66">
        <f>IF(N312=0,0,IF(N312&lt;BondCalculator!$B$12+BondCalculator!$B$7,N312+L313,BondCalculator!$B$12+BondCalculator!$B$7))</f>
        <v>0</v>
      </c>
      <c r="L313" s="66">
        <f>J313*BondCalculator!$B$5/12</f>
        <v>0</v>
      </c>
      <c r="M313" s="66">
        <f t="shared" si="47"/>
        <v>0</v>
      </c>
      <c r="N313" s="66">
        <f t="shared" si="48"/>
        <v>0</v>
      </c>
      <c r="P313" s="66">
        <f t="shared" si="49"/>
        <v>0</v>
      </c>
      <c r="Q313" s="67">
        <f>-PV(BondCalculator!$B$9/12,B313,0,1,0)</f>
        <v>0.21306928842042783</v>
      </c>
      <c r="S313" s="68">
        <f t="shared" si="41"/>
        <v>0</v>
      </c>
    </row>
    <row r="314" spans="1:19" ht="15" customHeight="1">
      <c r="A314" s="63" t="s">
        <v>121</v>
      </c>
      <c r="B314" s="74">
        <v>311</v>
      </c>
      <c r="C314" s="64">
        <f t="shared" si="44"/>
        <v>0</v>
      </c>
      <c r="D314" s="64">
        <f>IF(G313=0,0,IF(G313&lt;BondCalculator!$B$12,G313+E314,BondCalculator!$B$12))</f>
        <v>0</v>
      </c>
      <c r="E314" s="64">
        <f>C314*BondCalculator!$B$5/12</f>
        <v>0</v>
      </c>
      <c r="F314" s="64">
        <f t="shared" si="45"/>
        <v>0</v>
      </c>
      <c r="G314" s="64">
        <f t="shared" si="42"/>
        <v>0</v>
      </c>
      <c r="H314" s="76">
        <f t="shared" si="43"/>
        <v>0</v>
      </c>
      <c r="J314" s="66">
        <f t="shared" si="46"/>
        <v>0</v>
      </c>
      <c r="K314" s="66">
        <f>IF(N313=0,0,IF(N313&lt;BondCalculator!$B$12+BondCalculator!$B$7,N313+L314,BondCalculator!$B$12+BondCalculator!$B$7))</f>
        <v>0</v>
      </c>
      <c r="L314" s="66">
        <f>J314*BondCalculator!$B$5/12</f>
        <v>0</v>
      </c>
      <c r="M314" s="66">
        <f t="shared" si="47"/>
        <v>0</v>
      </c>
      <c r="N314" s="66">
        <f t="shared" si="48"/>
        <v>0</v>
      </c>
      <c r="P314" s="66">
        <f t="shared" si="49"/>
        <v>0</v>
      </c>
      <c r="Q314" s="67">
        <f>-PV(BondCalculator!$B$9/12,B314,0,1,0)</f>
        <v>0.21200924220938097</v>
      </c>
      <c r="S314" s="68">
        <f t="shared" si="41"/>
        <v>0</v>
      </c>
    </row>
    <row r="315" spans="1:19" ht="15" customHeight="1">
      <c r="A315" s="63" t="s">
        <v>121</v>
      </c>
      <c r="B315" s="74">
        <v>312</v>
      </c>
      <c r="C315" s="64">
        <f t="shared" si="44"/>
        <v>0</v>
      </c>
      <c r="D315" s="64">
        <f>IF(G314=0,0,IF(G314&lt;BondCalculator!$B$12,G314+E315,BondCalculator!$B$12))</f>
        <v>0</v>
      </c>
      <c r="E315" s="64">
        <f>C315*BondCalculator!$B$5/12</f>
        <v>0</v>
      </c>
      <c r="F315" s="64">
        <f t="shared" si="45"/>
        <v>0</v>
      </c>
      <c r="G315" s="64">
        <f t="shared" si="42"/>
        <v>0</v>
      </c>
      <c r="H315" s="76">
        <f t="shared" si="43"/>
        <v>0</v>
      </c>
      <c r="J315" s="66">
        <f t="shared" si="46"/>
        <v>0</v>
      </c>
      <c r="K315" s="66">
        <f>IF(N314=0,0,IF(N314&lt;BondCalculator!$B$12+BondCalculator!$B$7,N314+L315,BondCalculator!$B$12+BondCalculator!$B$7))</f>
        <v>0</v>
      </c>
      <c r="L315" s="66">
        <f>J315*BondCalculator!$B$5/12</f>
        <v>0</v>
      </c>
      <c r="M315" s="66">
        <f t="shared" si="47"/>
        <v>0</v>
      </c>
      <c r="N315" s="66">
        <f t="shared" si="48"/>
        <v>0</v>
      </c>
      <c r="P315" s="66">
        <f t="shared" si="49"/>
        <v>0</v>
      </c>
      <c r="Q315" s="67">
        <f>-PV(BondCalculator!$B$9/12,B315,0,1,0)</f>
        <v>0.21095446986008054</v>
      </c>
      <c r="S315" s="68">
        <f t="shared" si="41"/>
        <v>0</v>
      </c>
    </row>
    <row r="316" spans="1:19" ht="15" customHeight="1">
      <c r="A316" s="63" t="s">
        <v>122</v>
      </c>
      <c r="B316" s="74">
        <v>313</v>
      </c>
      <c r="C316" s="64">
        <f t="shared" si="44"/>
        <v>0</v>
      </c>
      <c r="D316" s="64">
        <f>IF(G315=0,0,IF(G315&lt;BondCalculator!$B$12,G315+E316,BondCalculator!$B$12))</f>
        <v>0</v>
      </c>
      <c r="E316" s="64">
        <f>C316*BondCalculator!$B$5/12</f>
        <v>0</v>
      </c>
      <c r="F316" s="64">
        <f t="shared" si="45"/>
        <v>0</v>
      </c>
      <c r="G316" s="64">
        <f t="shared" si="42"/>
        <v>0</v>
      </c>
      <c r="H316" s="76">
        <f t="shared" si="43"/>
        <v>0</v>
      </c>
      <c r="J316" s="66">
        <f t="shared" si="46"/>
        <v>0</v>
      </c>
      <c r="K316" s="66">
        <f>IF(N315=0,0,IF(N315&lt;BondCalculator!$B$12+BondCalculator!$B$7,N315+L316,BondCalculator!$B$12+BondCalculator!$B$7))</f>
        <v>0</v>
      </c>
      <c r="L316" s="66">
        <f>J316*BondCalculator!$B$5/12</f>
        <v>0</v>
      </c>
      <c r="M316" s="66">
        <f t="shared" si="47"/>
        <v>0</v>
      </c>
      <c r="N316" s="66">
        <f t="shared" si="48"/>
        <v>0</v>
      </c>
      <c r="P316" s="66">
        <f t="shared" si="49"/>
        <v>0</v>
      </c>
      <c r="Q316" s="67">
        <f>-PV(BondCalculator!$B$9/12,B316,0,1,0)</f>
        <v>0.20990494513440855</v>
      </c>
      <c r="S316" s="68">
        <f t="shared" si="41"/>
        <v>0</v>
      </c>
    </row>
    <row r="317" spans="1:19" ht="15" customHeight="1">
      <c r="A317" s="63" t="s">
        <v>122</v>
      </c>
      <c r="B317" s="74">
        <v>314</v>
      </c>
      <c r="C317" s="64">
        <f t="shared" si="44"/>
        <v>0</v>
      </c>
      <c r="D317" s="64">
        <f>IF(G316=0,0,IF(G316&lt;BondCalculator!$B$12,G316+E317,BondCalculator!$B$12))</f>
        <v>0</v>
      </c>
      <c r="E317" s="64">
        <f>C317*BondCalculator!$B$5/12</f>
        <v>0</v>
      </c>
      <c r="F317" s="64">
        <f t="shared" si="45"/>
        <v>0</v>
      </c>
      <c r="G317" s="64">
        <f t="shared" si="42"/>
        <v>0</v>
      </c>
      <c r="H317" s="76">
        <f t="shared" si="43"/>
        <v>0</v>
      </c>
      <c r="J317" s="66">
        <f t="shared" si="46"/>
        <v>0</v>
      </c>
      <c r="K317" s="66">
        <f>IF(N316=0,0,IF(N316&lt;BondCalculator!$B$12+BondCalculator!$B$7,N316+L317,BondCalculator!$B$12+BondCalculator!$B$7))</f>
        <v>0</v>
      </c>
      <c r="L317" s="66">
        <f>J317*BondCalculator!$B$5/12</f>
        <v>0</v>
      </c>
      <c r="M317" s="66">
        <f t="shared" si="47"/>
        <v>0</v>
      </c>
      <c r="N317" s="66">
        <f t="shared" si="48"/>
        <v>0</v>
      </c>
      <c r="P317" s="66">
        <f t="shared" si="49"/>
        <v>0</v>
      </c>
      <c r="Q317" s="67">
        <f>-PV(BondCalculator!$B$9/12,B317,0,1,0)</f>
        <v>0.20886064192478465</v>
      </c>
      <c r="S317" s="68">
        <f t="shared" si="41"/>
        <v>0</v>
      </c>
    </row>
    <row r="318" spans="1:19" ht="15" customHeight="1">
      <c r="A318" s="63" t="s">
        <v>122</v>
      </c>
      <c r="B318" s="74">
        <v>315</v>
      </c>
      <c r="C318" s="64">
        <f t="shared" si="44"/>
        <v>0</v>
      </c>
      <c r="D318" s="64">
        <f>IF(G317=0,0,IF(G317&lt;BondCalculator!$B$12,G317+E318,BondCalculator!$B$12))</f>
        <v>0</v>
      </c>
      <c r="E318" s="64">
        <f>C318*BondCalculator!$B$5/12</f>
        <v>0</v>
      </c>
      <c r="F318" s="64">
        <f t="shared" si="45"/>
        <v>0</v>
      </c>
      <c r="G318" s="64">
        <f t="shared" si="42"/>
        <v>0</v>
      </c>
      <c r="H318" s="76">
        <f t="shared" si="43"/>
        <v>0</v>
      </c>
      <c r="J318" s="66">
        <f t="shared" si="46"/>
        <v>0</v>
      </c>
      <c r="K318" s="66">
        <f>IF(N317=0,0,IF(N317&lt;BondCalculator!$B$12+BondCalculator!$B$7,N317+L318,BondCalculator!$B$12+BondCalculator!$B$7))</f>
        <v>0</v>
      </c>
      <c r="L318" s="66">
        <f>J318*BondCalculator!$B$5/12</f>
        <v>0</v>
      </c>
      <c r="M318" s="66">
        <f t="shared" si="47"/>
        <v>0</v>
      </c>
      <c r="N318" s="66">
        <f t="shared" si="48"/>
        <v>0</v>
      </c>
      <c r="P318" s="66">
        <f t="shared" si="49"/>
        <v>0</v>
      </c>
      <c r="Q318" s="67">
        <f>-PV(BondCalculator!$B$9/12,B318,0,1,0)</f>
        <v>0.2078215342535171</v>
      </c>
      <c r="S318" s="68">
        <f t="shared" si="41"/>
        <v>0</v>
      </c>
    </row>
    <row r="319" spans="1:19" ht="15" customHeight="1">
      <c r="A319" s="63" t="s">
        <v>122</v>
      </c>
      <c r="B319" s="74">
        <v>316</v>
      </c>
      <c r="C319" s="64">
        <f t="shared" si="44"/>
        <v>0</v>
      </c>
      <c r="D319" s="64">
        <f>IF(G318=0,0,IF(G318&lt;BondCalculator!$B$12,G318+E319,BondCalculator!$B$12))</f>
        <v>0</v>
      </c>
      <c r="E319" s="64">
        <f>C319*BondCalculator!$B$5/12</f>
        <v>0</v>
      </c>
      <c r="F319" s="64">
        <f t="shared" si="45"/>
        <v>0</v>
      </c>
      <c r="G319" s="64">
        <f t="shared" si="42"/>
        <v>0</v>
      </c>
      <c r="H319" s="76">
        <f t="shared" si="43"/>
        <v>0</v>
      </c>
      <c r="J319" s="66">
        <f t="shared" si="46"/>
        <v>0</v>
      </c>
      <c r="K319" s="66">
        <f>IF(N318=0,0,IF(N318&lt;BondCalculator!$B$12+BondCalculator!$B$7,N318+L319,BondCalculator!$B$12+BondCalculator!$B$7))</f>
        <v>0</v>
      </c>
      <c r="L319" s="66">
        <f>J319*BondCalculator!$B$5/12</f>
        <v>0</v>
      </c>
      <c r="M319" s="66">
        <f t="shared" si="47"/>
        <v>0</v>
      </c>
      <c r="N319" s="66">
        <f t="shared" si="48"/>
        <v>0</v>
      </c>
      <c r="P319" s="66">
        <f t="shared" si="49"/>
        <v>0</v>
      </c>
      <c r="Q319" s="67">
        <f>-PV(BondCalculator!$B$9/12,B319,0,1,0)</f>
        <v>0.20678759627215637</v>
      </c>
      <c r="S319" s="68">
        <f t="shared" si="41"/>
        <v>0</v>
      </c>
    </row>
    <row r="320" spans="1:19" ht="15" customHeight="1">
      <c r="A320" s="63" t="s">
        <v>122</v>
      </c>
      <c r="B320" s="74">
        <v>317</v>
      </c>
      <c r="C320" s="64">
        <f t="shared" si="44"/>
        <v>0</v>
      </c>
      <c r="D320" s="64">
        <f>IF(G319=0,0,IF(G319&lt;BondCalculator!$B$12,G319+E320,BondCalculator!$B$12))</f>
        <v>0</v>
      </c>
      <c r="E320" s="64">
        <f>C320*BondCalculator!$B$5/12</f>
        <v>0</v>
      </c>
      <c r="F320" s="64">
        <f t="shared" si="45"/>
        <v>0</v>
      </c>
      <c r="G320" s="64">
        <f t="shared" si="42"/>
        <v>0</v>
      </c>
      <c r="H320" s="76">
        <f t="shared" si="43"/>
        <v>0</v>
      </c>
      <c r="J320" s="66">
        <f t="shared" si="46"/>
        <v>0</v>
      </c>
      <c r="K320" s="66">
        <f>IF(N319=0,0,IF(N319&lt;BondCalculator!$B$12+BondCalculator!$B$7,N319+L320,BondCalculator!$B$12+BondCalculator!$B$7))</f>
        <v>0</v>
      </c>
      <c r="L320" s="66">
        <f>J320*BondCalculator!$B$5/12</f>
        <v>0</v>
      </c>
      <c r="M320" s="66">
        <f t="shared" si="47"/>
        <v>0</v>
      </c>
      <c r="N320" s="66">
        <f t="shared" si="48"/>
        <v>0</v>
      </c>
      <c r="P320" s="66">
        <f t="shared" si="49"/>
        <v>0</v>
      </c>
      <c r="Q320" s="67">
        <f>-PV(BondCalculator!$B$9/12,B320,0,1,0)</f>
        <v>0.20575880226085214</v>
      </c>
      <c r="S320" s="68">
        <f t="shared" si="41"/>
        <v>0</v>
      </c>
    </row>
    <row r="321" spans="1:19" ht="15" customHeight="1">
      <c r="A321" s="63" t="s">
        <v>122</v>
      </c>
      <c r="B321" s="74">
        <v>318</v>
      </c>
      <c r="C321" s="64">
        <f t="shared" si="44"/>
        <v>0</v>
      </c>
      <c r="D321" s="64">
        <f>IF(G320=0,0,IF(G320&lt;BondCalculator!$B$12,G320+E321,BondCalculator!$B$12))</f>
        <v>0</v>
      </c>
      <c r="E321" s="64">
        <f>C321*BondCalculator!$B$5/12</f>
        <v>0</v>
      </c>
      <c r="F321" s="64">
        <f t="shared" si="45"/>
        <v>0</v>
      </c>
      <c r="G321" s="64">
        <f t="shared" si="42"/>
        <v>0</v>
      </c>
      <c r="H321" s="76">
        <f t="shared" si="43"/>
        <v>0</v>
      </c>
      <c r="J321" s="66">
        <f t="shared" si="46"/>
        <v>0</v>
      </c>
      <c r="K321" s="66">
        <f>IF(N320=0,0,IF(N320&lt;BondCalculator!$B$12+BondCalculator!$B$7,N320+L321,BondCalculator!$B$12+BondCalculator!$B$7))</f>
        <v>0</v>
      </c>
      <c r="L321" s="66">
        <f>J321*BondCalculator!$B$5/12</f>
        <v>0</v>
      </c>
      <c r="M321" s="66">
        <f t="shared" si="47"/>
        <v>0</v>
      </c>
      <c r="N321" s="66">
        <f t="shared" si="48"/>
        <v>0</v>
      </c>
      <c r="P321" s="66">
        <f t="shared" si="49"/>
        <v>0</v>
      </c>
      <c r="Q321" s="67">
        <f>-PV(BondCalculator!$B$9/12,B321,0,1,0)</f>
        <v>0.20473512662771357</v>
      </c>
      <c r="S321" s="68">
        <f t="shared" si="41"/>
        <v>0</v>
      </c>
    </row>
    <row r="322" spans="1:19" ht="15" customHeight="1">
      <c r="A322" s="63" t="s">
        <v>122</v>
      </c>
      <c r="B322" s="74">
        <v>319</v>
      </c>
      <c r="C322" s="64">
        <f t="shared" si="44"/>
        <v>0</v>
      </c>
      <c r="D322" s="64">
        <f>IF(G321=0,0,IF(G321&lt;BondCalculator!$B$12,G321+E322,BondCalculator!$B$12))</f>
        <v>0</v>
      </c>
      <c r="E322" s="64">
        <f>C322*BondCalculator!$B$5/12</f>
        <v>0</v>
      </c>
      <c r="F322" s="64">
        <f t="shared" si="45"/>
        <v>0</v>
      </c>
      <c r="G322" s="64">
        <f t="shared" si="42"/>
        <v>0</v>
      </c>
      <c r="H322" s="76">
        <f t="shared" si="43"/>
        <v>0</v>
      </c>
      <c r="J322" s="66">
        <f t="shared" si="46"/>
        <v>0</v>
      </c>
      <c r="K322" s="66">
        <f>IF(N321=0,0,IF(N321&lt;BondCalculator!$B$12+BondCalculator!$B$7,N321+L322,BondCalculator!$B$12+BondCalculator!$B$7))</f>
        <v>0</v>
      </c>
      <c r="L322" s="66">
        <f>J322*BondCalculator!$B$5/12</f>
        <v>0</v>
      </c>
      <c r="M322" s="66">
        <f t="shared" si="47"/>
        <v>0</v>
      </c>
      <c r="N322" s="66">
        <f t="shared" si="48"/>
        <v>0</v>
      </c>
      <c r="P322" s="66">
        <f t="shared" si="49"/>
        <v>0</v>
      </c>
      <c r="Q322" s="67">
        <f>-PV(BondCalculator!$B$9/12,B322,0,1,0)</f>
        <v>0.20371654390817276</v>
      </c>
      <c r="S322" s="68">
        <f t="shared" si="41"/>
        <v>0</v>
      </c>
    </row>
    <row r="323" spans="1:19" ht="15" customHeight="1">
      <c r="A323" s="63" t="s">
        <v>122</v>
      </c>
      <c r="B323" s="74">
        <v>320</v>
      </c>
      <c r="C323" s="64">
        <f t="shared" si="44"/>
        <v>0</v>
      </c>
      <c r="D323" s="64">
        <f>IF(G322=0,0,IF(G322&lt;BondCalculator!$B$12,G322+E323,BondCalculator!$B$12))</f>
        <v>0</v>
      </c>
      <c r="E323" s="64">
        <f>C323*BondCalculator!$B$5/12</f>
        <v>0</v>
      </c>
      <c r="F323" s="64">
        <f t="shared" si="45"/>
        <v>0</v>
      </c>
      <c r="G323" s="64">
        <f t="shared" si="42"/>
        <v>0</v>
      </c>
      <c r="H323" s="76">
        <f t="shared" si="43"/>
        <v>0</v>
      </c>
      <c r="J323" s="66">
        <f t="shared" si="46"/>
        <v>0</v>
      </c>
      <c r="K323" s="66">
        <f>IF(N322=0,0,IF(N322&lt;BondCalculator!$B$12+BondCalculator!$B$7,N322+L323,BondCalculator!$B$12+BondCalculator!$B$7))</f>
        <v>0</v>
      </c>
      <c r="L323" s="66">
        <f>J323*BondCalculator!$B$5/12</f>
        <v>0</v>
      </c>
      <c r="M323" s="66">
        <f t="shared" si="47"/>
        <v>0</v>
      </c>
      <c r="N323" s="66">
        <f t="shared" si="48"/>
        <v>0</v>
      </c>
      <c r="P323" s="66">
        <f t="shared" si="49"/>
        <v>0</v>
      </c>
      <c r="Q323" s="67">
        <f>-PV(BondCalculator!$B$9/12,B323,0,1,0)</f>
        <v>0.202703028764351</v>
      </c>
      <c r="S323" s="68">
        <f t="shared" si="41"/>
        <v>0</v>
      </c>
    </row>
    <row r="324" spans="1:19" ht="15" customHeight="1">
      <c r="A324" s="63" t="s">
        <v>122</v>
      </c>
      <c r="B324" s="74">
        <v>321</v>
      </c>
      <c r="C324" s="64">
        <f t="shared" si="44"/>
        <v>0</v>
      </c>
      <c r="D324" s="64">
        <f>IF(G323=0,0,IF(G323&lt;BondCalculator!$B$12,G323+E324,BondCalculator!$B$12))</f>
        <v>0</v>
      </c>
      <c r="E324" s="64">
        <f>C324*BondCalculator!$B$5/12</f>
        <v>0</v>
      </c>
      <c r="F324" s="64">
        <f t="shared" si="45"/>
        <v>0</v>
      </c>
      <c r="G324" s="64">
        <f t="shared" si="42"/>
        <v>0</v>
      </c>
      <c r="H324" s="76">
        <f t="shared" si="43"/>
        <v>0</v>
      </c>
      <c r="J324" s="66">
        <f t="shared" si="46"/>
        <v>0</v>
      </c>
      <c r="K324" s="66">
        <f>IF(N323=0,0,IF(N323&lt;BondCalculator!$B$12+BondCalculator!$B$7,N323+L324,BondCalculator!$B$12+BondCalculator!$B$7))</f>
        <v>0</v>
      </c>
      <c r="L324" s="66">
        <f>J324*BondCalculator!$B$5/12</f>
        <v>0</v>
      </c>
      <c r="M324" s="66">
        <f t="shared" si="47"/>
        <v>0</v>
      </c>
      <c r="N324" s="66">
        <f t="shared" si="48"/>
        <v>0</v>
      </c>
      <c r="P324" s="66">
        <f t="shared" si="49"/>
        <v>0</v>
      </c>
      <c r="Q324" s="67">
        <f>-PV(BondCalculator!$B$9/12,B324,0,1,0)</f>
        <v>0.2016945559844289</v>
      </c>
      <c r="S324" s="68">
        <f aca="true" t="shared" si="50" ref="S324:S363">P324*Q324</f>
        <v>0</v>
      </c>
    </row>
    <row r="325" spans="1:19" ht="15" customHeight="1">
      <c r="A325" s="63" t="s">
        <v>122</v>
      </c>
      <c r="B325" s="74">
        <v>322</v>
      </c>
      <c r="C325" s="64">
        <f t="shared" si="44"/>
        <v>0</v>
      </c>
      <c r="D325" s="64">
        <f>IF(G324=0,0,IF(G324&lt;BondCalculator!$B$12,G324+E325,BondCalculator!$B$12))</f>
        <v>0</v>
      </c>
      <c r="E325" s="64">
        <f>C325*BondCalculator!$B$5/12</f>
        <v>0</v>
      </c>
      <c r="F325" s="64">
        <f t="shared" si="45"/>
        <v>0</v>
      </c>
      <c r="G325" s="64">
        <f aca="true" t="shared" si="51" ref="G325:G363">IF(ROUND(C325-F325,2)=0,0,C325-F325)</f>
        <v>0</v>
      </c>
      <c r="H325" s="76">
        <f aca="true" t="shared" si="52" ref="H325:H363">IF($C$4=0,0,G325/$C$4)</f>
        <v>0</v>
      </c>
      <c r="J325" s="66">
        <f t="shared" si="46"/>
        <v>0</v>
      </c>
      <c r="K325" s="66">
        <f>IF(N324=0,0,IF(N324&lt;BondCalculator!$B$12+BondCalculator!$B$7,N324+L325,BondCalculator!$B$12+BondCalculator!$B$7))</f>
        <v>0</v>
      </c>
      <c r="L325" s="66">
        <f>J325*BondCalculator!$B$5/12</f>
        <v>0</v>
      </c>
      <c r="M325" s="66">
        <f t="shared" si="47"/>
        <v>0</v>
      </c>
      <c r="N325" s="66">
        <f t="shared" si="48"/>
        <v>0</v>
      </c>
      <c r="P325" s="66">
        <f t="shared" si="49"/>
        <v>0</v>
      </c>
      <c r="Q325" s="67">
        <f>-PV(BondCalculator!$B$9/12,B325,0,1,0)</f>
        <v>0.20069110048201882</v>
      </c>
      <c r="S325" s="68">
        <f t="shared" si="50"/>
        <v>0</v>
      </c>
    </row>
    <row r="326" spans="1:19" ht="15" customHeight="1">
      <c r="A326" s="63" t="s">
        <v>122</v>
      </c>
      <c r="B326" s="74">
        <v>323</v>
      </c>
      <c r="C326" s="64">
        <f aca="true" t="shared" si="53" ref="C326:C363">G325</f>
        <v>0</v>
      </c>
      <c r="D326" s="64">
        <f>IF(G325=0,0,IF(G325&lt;BondCalculator!$B$12,G325+E326,BondCalculator!$B$12))</f>
        <v>0</v>
      </c>
      <c r="E326" s="64">
        <f>C326*BondCalculator!$B$5/12</f>
        <v>0</v>
      </c>
      <c r="F326" s="64">
        <f t="shared" si="45"/>
        <v>0</v>
      </c>
      <c r="G326" s="64">
        <f t="shared" si="51"/>
        <v>0</v>
      </c>
      <c r="H326" s="76">
        <f t="shared" si="52"/>
        <v>0</v>
      </c>
      <c r="J326" s="66">
        <f t="shared" si="46"/>
        <v>0</v>
      </c>
      <c r="K326" s="66">
        <f>IF(N325=0,0,IF(N325&lt;BondCalculator!$B$12+BondCalculator!$B$7,N325+L326,BondCalculator!$B$12+BondCalculator!$B$7))</f>
        <v>0</v>
      </c>
      <c r="L326" s="66">
        <f>J326*BondCalculator!$B$5/12</f>
        <v>0</v>
      </c>
      <c r="M326" s="66">
        <f t="shared" si="47"/>
        <v>0</v>
      </c>
      <c r="N326" s="66">
        <f t="shared" si="48"/>
        <v>0</v>
      </c>
      <c r="P326" s="66">
        <f t="shared" si="49"/>
        <v>0</v>
      </c>
      <c r="Q326" s="67">
        <f>-PV(BondCalculator!$B$9/12,B326,0,1,0)</f>
        <v>0.19969263729554115</v>
      </c>
      <c r="S326" s="68">
        <f t="shared" si="50"/>
        <v>0</v>
      </c>
    </row>
    <row r="327" spans="1:19" ht="15" customHeight="1">
      <c r="A327" s="63" t="s">
        <v>122</v>
      </c>
      <c r="B327" s="74">
        <v>324</v>
      </c>
      <c r="C327" s="64">
        <f t="shared" si="53"/>
        <v>0</v>
      </c>
      <c r="D327" s="64">
        <f>IF(G326=0,0,IF(G326&lt;BondCalculator!$B$12,G326+E327,BondCalculator!$B$12))</f>
        <v>0</v>
      </c>
      <c r="E327" s="64">
        <f>C327*BondCalculator!$B$5/12</f>
        <v>0</v>
      </c>
      <c r="F327" s="64">
        <f t="shared" si="45"/>
        <v>0</v>
      </c>
      <c r="G327" s="64">
        <f t="shared" si="51"/>
        <v>0</v>
      </c>
      <c r="H327" s="76">
        <f t="shared" si="52"/>
        <v>0</v>
      </c>
      <c r="J327" s="66">
        <f t="shared" si="46"/>
        <v>0</v>
      </c>
      <c r="K327" s="66">
        <f>IF(N326=0,0,IF(N326&lt;BondCalculator!$B$12+BondCalculator!$B$7,N326+L327,BondCalculator!$B$12+BondCalculator!$B$7))</f>
        <v>0</v>
      </c>
      <c r="L327" s="66">
        <f>J327*BondCalculator!$B$5/12</f>
        <v>0</v>
      </c>
      <c r="M327" s="66">
        <f t="shared" si="47"/>
        <v>0</v>
      </c>
      <c r="N327" s="66">
        <f t="shared" si="48"/>
        <v>0</v>
      </c>
      <c r="P327" s="66">
        <f t="shared" si="49"/>
        <v>0</v>
      </c>
      <c r="Q327" s="67">
        <f>-PV(BondCalculator!$B$9/12,B327,0,1,0)</f>
        <v>0.19869914158760318</v>
      </c>
      <c r="S327" s="68">
        <f t="shared" si="50"/>
        <v>0</v>
      </c>
    </row>
    <row r="328" spans="1:19" ht="15" customHeight="1">
      <c r="A328" s="63" t="s">
        <v>123</v>
      </c>
      <c r="B328" s="74">
        <v>325</v>
      </c>
      <c r="C328" s="64">
        <f t="shared" si="53"/>
        <v>0</v>
      </c>
      <c r="D328" s="64">
        <f>IF(G327=0,0,IF(G327&lt;BondCalculator!$B$12,G327+E328,BondCalculator!$B$12))</f>
        <v>0</v>
      </c>
      <c r="E328" s="64">
        <f>C328*BondCalculator!$B$5/12</f>
        <v>0</v>
      </c>
      <c r="F328" s="64">
        <f t="shared" si="45"/>
        <v>0</v>
      </c>
      <c r="G328" s="64">
        <f t="shared" si="51"/>
        <v>0</v>
      </c>
      <c r="H328" s="76">
        <f t="shared" si="52"/>
        <v>0</v>
      </c>
      <c r="J328" s="66">
        <f t="shared" si="46"/>
        <v>0</v>
      </c>
      <c r="K328" s="66">
        <f>IF(N327=0,0,IF(N327&lt;BondCalculator!$B$12+BondCalculator!$B$7,N327+L328,BondCalculator!$B$12+BondCalculator!$B$7))</f>
        <v>0</v>
      </c>
      <c r="L328" s="66">
        <f>J328*BondCalculator!$B$5/12</f>
        <v>0</v>
      </c>
      <c r="M328" s="66">
        <f t="shared" si="47"/>
        <v>0</v>
      </c>
      <c r="N328" s="66">
        <f t="shared" si="48"/>
        <v>0</v>
      </c>
      <c r="P328" s="66">
        <f t="shared" si="49"/>
        <v>0</v>
      </c>
      <c r="Q328" s="67">
        <f>-PV(BondCalculator!$B$9/12,B328,0,1,0)</f>
        <v>0.19771058864438132</v>
      </c>
      <c r="S328" s="68">
        <f t="shared" si="50"/>
        <v>0</v>
      </c>
    </row>
    <row r="329" spans="1:19" ht="15" customHeight="1">
      <c r="A329" s="63" t="s">
        <v>123</v>
      </c>
      <c r="B329" s="74">
        <v>326</v>
      </c>
      <c r="C329" s="64">
        <f t="shared" si="53"/>
        <v>0</v>
      </c>
      <c r="D329" s="64">
        <f>IF(G328=0,0,IF(G328&lt;BondCalculator!$B$12,G328+E329,BondCalculator!$B$12))</f>
        <v>0</v>
      </c>
      <c r="E329" s="64">
        <f>C329*BondCalculator!$B$5/12</f>
        <v>0</v>
      </c>
      <c r="F329" s="64">
        <f t="shared" si="45"/>
        <v>0</v>
      </c>
      <c r="G329" s="64">
        <f t="shared" si="51"/>
        <v>0</v>
      </c>
      <c r="H329" s="76">
        <f t="shared" si="52"/>
        <v>0</v>
      </c>
      <c r="J329" s="66">
        <f t="shared" si="46"/>
        <v>0</v>
      </c>
      <c r="K329" s="66">
        <f>IF(N328=0,0,IF(N328&lt;BondCalculator!$B$12+BondCalculator!$B$7,N328+L329,BondCalculator!$B$12+BondCalculator!$B$7))</f>
        <v>0</v>
      </c>
      <c r="L329" s="66">
        <f>J329*BondCalculator!$B$5/12</f>
        <v>0</v>
      </c>
      <c r="M329" s="66">
        <f t="shared" si="47"/>
        <v>0</v>
      </c>
      <c r="N329" s="66">
        <f t="shared" si="48"/>
        <v>0</v>
      </c>
      <c r="P329" s="66">
        <f t="shared" si="49"/>
        <v>0</v>
      </c>
      <c r="Q329" s="67">
        <f>-PV(BondCalculator!$B$9/12,B329,0,1,0)</f>
        <v>0.19672695387500633</v>
      </c>
      <c r="S329" s="68">
        <f t="shared" si="50"/>
        <v>0</v>
      </c>
    </row>
    <row r="330" spans="1:19" ht="15" customHeight="1">
      <c r="A330" s="63" t="s">
        <v>123</v>
      </c>
      <c r="B330" s="74">
        <v>327</v>
      </c>
      <c r="C330" s="64">
        <f t="shared" si="53"/>
        <v>0</v>
      </c>
      <c r="D330" s="64">
        <f>IF(G329=0,0,IF(G329&lt;BondCalculator!$B$12,G329+E330,BondCalculator!$B$12))</f>
        <v>0</v>
      </c>
      <c r="E330" s="64">
        <f>C330*BondCalculator!$B$5/12</f>
        <v>0</v>
      </c>
      <c r="F330" s="64">
        <f t="shared" si="45"/>
        <v>0</v>
      </c>
      <c r="G330" s="64">
        <f t="shared" si="51"/>
        <v>0</v>
      </c>
      <c r="H330" s="76">
        <f t="shared" si="52"/>
        <v>0</v>
      </c>
      <c r="J330" s="66">
        <f t="shared" si="46"/>
        <v>0</v>
      </c>
      <c r="K330" s="66">
        <f>IF(N329=0,0,IF(N329&lt;BondCalculator!$B$12+BondCalculator!$B$7,N329+L330,BondCalculator!$B$12+BondCalculator!$B$7))</f>
        <v>0</v>
      </c>
      <c r="L330" s="66">
        <f>J330*BondCalculator!$B$5/12</f>
        <v>0</v>
      </c>
      <c r="M330" s="66">
        <f t="shared" si="47"/>
        <v>0</v>
      </c>
      <c r="N330" s="66">
        <f t="shared" si="48"/>
        <v>0</v>
      </c>
      <c r="P330" s="66">
        <f t="shared" si="49"/>
        <v>0</v>
      </c>
      <c r="Q330" s="67">
        <f>-PV(BondCalculator!$B$9/12,B330,0,1,0)</f>
        <v>0.1957482128109516</v>
      </c>
      <c r="S330" s="68">
        <f t="shared" si="50"/>
        <v>0</v>
      </c>
    </row>
    <row r="331" spans="1:19" ht="15" customHeight="1">
      <c r="A331" s="63" t="s">
        <v>123</v>
      </c>
      <c r="B331" s="74">
        <v>328</v>
      </c>
      <c r="C331" s="64">
        <f t="shared" si="53"/>
        <v>0</v>
      </c>
      <c r="D331" s="64">
        <f>IF(G330=0,0,IF(G330&lt;BondCalculator!$B$12,G330+E331,BondCalculator!$B$12))</f>
        <v>0</v>
      </c>
      <c r="E331" s="64">
        <f>C331*BondCalculator!$B$5/12</f>
        <v>0</v>
      </c>
      <c r="F331" s="64">
        <f t="shared" si="45"/>
        <v>0</v>
      </c>
      <c r="G331" s="64">
        <f t="shared" si="51"/>
        <v>0</v>
      </c>
      <c r="H331" s="76">
        <f t="shared" si="52"/>
        <v>0</v>
      </c>
      <c r="J331" s="66">
        <f t="shared" si="46"/>
        <v>0</v>
      </c>
      <c r="K331" s="66">
        <f>IF(N330=0,0,IF(N330&lt;BondCalculator!$B$12+BondCalculator!$B$7,N330+L331,BondCalculator!$B$12+BondCalculator!$B$7))</f>
        <v>0</v>
      </c>
      <c r="L331" s="66">
        <f>J331*BondCalculator!$B$5/12</f>
        <v>0</v>
      </c>
      <c r="M331" s="66">
        <f t="shared" si="47"/>
        <v>0</v>
      </c>
      <c r="N331" s="66">
        <f t="shared" si="48"/>
        <v>0</v>
      </c>
      <c r="P331" s="66">
        <f t="shared" si="49"/>
        <v>0</v>
      </c>
      <c r="Q331" s="67">
        <f>-PV(BondCalculator!$B$9/12,B331,0,1,0)</f>
        <v>0.1947743411054245</v>
      </c>
      <c r="S331" s="68">
        <f t="shared" si="50"/>
        <v>0</v>
      </c>
    </row>
    <row r="332" spans="1:19" ht="15" customHeight="1">
      <c r="A332" s="63" t="s">
        <v>123</v>
      </c>
      <c r="B332" s="74">
        <v>329</v>
      </c>
      <c r="C332" s="64">
        <f t="shared" si="53"/>
        <v>0</v>
      </c>
      <c r="D332" s="64">
        <f>IF(G331=0,0,IF(G331&lt;BondCalculator!$B$12,G331+E332,BondCalculator!$B$12))</f>
        <v>0</v>
      </c>
      <c r="E332" s="64">
        <f>C332*BondCalculator!$B$5/12</f>
        <v>0</v>
      </c>
      <c r="F332" s="64">
        <f t="shared" si="45"/>
        <v>0</v>
      </c>
      <c r="G332" s="64">
        <f t="shared" si="51"/>
        <v>0</v>
      </c>
      <c r="H332" s="76">
        <f t="shared" si="52"/>
        <v>0</v>
      </c>
      <c r="J332" s="66">
        <f t="shared" si="46"/>
        <v>0</v>
      </c>
      <c r="K332" s="66">
        <f>IF(N331=0,0,IF(N331&lt;BondCalculator!$B$12+BondCalculator!$B$7,N331+L332,BondCalculator!$B$12+BondCalculator!$B$7))</f>
        <v>0</v>
      </c>
      <c r="L332" s="66">
        <f>J332*BondCalculator!$B$5/12</f>
        <v>0</v>
      </c>
      <c r="M332" s="66">
        <f t="shared" si="47"/>
        <v>0</v>
      </c>
      <c r="N332" s="66">
        <f t="shared" si="48"/>
        <v>0</v>
      </c>
      <c r="P332" s="66">
        <f t="shared" si="49"/>
        <v>0</v>
      </c>
      <c r="Q332" s="67">
        <f>-PV(BondCalculator!$B$9/12,B332,0,1,0)</f>
        <v>0.19380531453276068</v>
      </c>
      <c r="S332" s="68">
        <f t="shared" si="50"/>
        <v>0</v>
      </c>
    </row>
    <row r="333" spans="1:19" ht="15" customHeight="1">
      <c r="A333" s="63" t="s">
        <v>123</v>
      </c>
      <c r="B333" s="74">
        <v>330</v>
      </c>
      <c r="C333" s="64">
        <f t="shared" si="53"/>
        <v>0</v>
      </c>
      <c r="D333" s="64">
        <f>IF(G332=0,0,IF(G332&lt;BondCalculator!$B$12,G332+E333,BondCalculator!$B$12))</f>
        <v>0</v>
      </c>
      <c r="E333" s="64">
        <f>C333*BondCalculator!$B$5/12</f>
        <v>0</v>
      </c>
      <c r="F333" s="64">
        <f t="shared" si="45"/>
        <v>0</v>
      </c>
      <c r="G333" s="64">
        <f t="shared" si="51"/>
        <v>0</v>
      </c>
      <c r="H333" s="76">
        <f t="shared" si="52"/>
        <v>0</v>
      </c>
      <c r="J333" s="66">
        <f t="shared" si="46"/>
        <v>0</v>
      </c>
      <c r="K333" s="66">
        <f>IF(N332=0,0,IF(N332&lt;BondCalculator!$B$12+BondCalculator!$B$7,N332+L333,BondCalculator!$B$12+BondCalculator!$B$7))</f>
        <v>0</v>
      </c>
      <c r="L333" s="66">
        <f>J333*BondCalculator!$B$5/12</f>
        <v>0</v>
      </c>
      <c r="M333" s="66">
        <f t="shared" si="47"/>
        <v>0</v>
      </c>
      <c r="N333" s="66">
        <f t="shared" si="48"/>
        <v>0</v>
      </c>
      <c r="P333" s="66">
        <f t="shared" si="49"/>
        <v>0</v>
      </c>
      <c r="Q333" s="67">
        <f>-PV(BondCalculator!$B$9/12,B333,0,1,0)</f>
        <v>0.19284110898782164</v>
      </c>
      <c r="S333" s="68">
        <f t="shared" si="50"/>
        <v>0</v>
      </c>
    </row>
    <row r="334" spans="1:19" ht="15" customHeight="1">
      <c r="A334" s="63" t="s">
        <v>123</v>
      </c>
      <c r="B334" s="74">
        <v>331</v>
      </c>
      <c r="C334" s="64">
        <f t="shared" si="53"/>
        <v>0</v>
      </c>
      <c r="D334" s="64">
        <f>IF(G333=0,0,IF(G333&lt;BondCalculator!$B$12,G333+E334,BondCalculator!$B$12))</f>
        <v>0</v>
      </c>
      <c r="E334" s="64">
        <f>C334*BondCalculator!$B$5/12</f>
        <v>0</v>
      </c>
      <c r="F334" s="64">
        <f t="shared" si="45"/>
        <v>0</v>
      </c>
      <c r="G334" s="64">
        <f t="shared" si="51"/>
        <v>0</v>
      </c>
      <c r="H334" s="76">
        <f t="shared" si="52"/>
        <v>0</v>
      </c>
      <c r="J334" s="66">
        <f t="shared" si="46"/>
        <v>0</v>
      </c>
      <c r="K334" s="66">
        <f>IF(N333=0,0,IF(N333&lt;BondCalculator!$B$12+BondCalculator!$B$7,N333+L334,BondCalculator!$B$12+BondCalculator!$B$7))</f>
        <v>0</v>
      </c>
      <c r="L334" s="66">
        <f>J334*BondCalculator!$B$5/12</f>
        <v>0</v>
      </c>
      <c r="M334" s="66">
        <f t="shared" si="47"/>
        <v>0</v>
      </c>
      <c r="N334" s="66">
        <f t="shared" si="48"/>
        <v>0</v>
      </c>
      <c r="P334" s="66">
        <f t="shared" si="49"/>
        <v>0</v>
      </c>
      <c r="Q334" s="67">
        <f>-PV(BondCalculator!$B$9/12,B334,0,1,0)</f>
        <v>0.19188170048539469</v>
      </c>
      <c r="S334" s="68">
        <f t="shared" si="50"/>
        <v>0</v>
      </c>
    </row>
    <row r="335" spans="1:19" ht="15" customHeight="1">
      <c r="A335" s="63" t="s">
        <v>123</v>
      </c>
      <c r="B335" s="74">
        <v>332</v>
      </c>
      <c r="C335" s="64">
        <f t="shared" si="53"/>
        <v>0</v>
      </c>
      <c r="D335" s="64">
        <f>IF(G334=0,0,IF(G334&lt;BondCalculator!$B$12,G334+E335,BondCalculator!$B$12))</f>
        <v>0</v>
      </c>
      <c r="E335" s="64">
        <f>C335*BondCalculator!$B$5/12</f>
        <v>0</v>
      </c>
      <c r="F335" s="64">
        <f t="shared" si="45"/>
        <v>0</v>
      </c>
      <c r="G335" s="64">
        <f t="shared" si="51"/>
        <v>0</v>
      </c>
      <c r="H335" s="76">
        <f t="shared" si="52"/>
        <v>0</v>
      </c>
      <c r="J335" s="66">
        <f t="shared" si="46"/>
        <v>0</v>
      </c>
      <c r="K335" s="66">
        <f>IF(N334=0,0,IF(N334&lt;BondCalculator!$B$12+BondCalculator!$B$7,N334+L335,BondCalculator!$B$12+BondCalculator!$B$7))</f>
        <v>0</v>
      </c>
      <c r="L335" s="66">
        <f>J335*BondCalculator!$B$5/12</f>
        <v>0</v>
      </c>
      <c r="M335" s="66">
        <f t="shared" si="47"/>
        <v>0</v>
      </c>
      <c r="N335" s="66">
        <f t="shared" si="48"/>
        <v>0</v>
      </c>
      <c r="P335" s="66">
        <f t="shared" si="49"/>
        <v>0</v>
      </c>
      <c r="Q335" s="67">
        <f>-PV(BondCalculator!$B$9/12,B335,0,1,0)</f>
        <v>0.19092706515959676</v>
      </c>
      <c r="S335" s="68">
        <f t="shared" si="50"/>
        <v>0</v>
      </c>
    </row>
    <row r="336" spans="1:19" ht="15" customHeight="1">
      <c r="A336" s="63" t="s">
        <v>123</v>
      </c>
      <c r="B336" s="74">
        <v>333</v>
      </c>
      <c r="C336" s="64">
        <f t="shared" si="53"/>
        <v>0</v>
      </c>
      <c r="D336" s="64">
        <f>IF(G335=0,0,IF(G335&lt;BondCalculator!$B$12,G335+E336,BondCalculator!$B$12))</f>
        <v>0</v>
      </c>
      <c r="E336" s="64">
        <f>C336*BondCalculator!$B$5/12</f>
        <v>0</v>
      </c>
      <c r="F336" s="64">
        <f t="shared" si="45"/>
        <v>0</v>
      </c>
      <c r="G336" s="64">
        <f t="shared" si="51"/>
        <v>0</v>
      </c>
      <c r="H336" s="76">
        <f t="shared" si="52"/>
        <v>0</v>
      </c>
      <c r="J336" s="66">
        <f t="shared" si="46"/>
        <v>0</v>
      </c>
      <c r="K336" s="66">
        <f>IF(N335=0,0,IF(N335&lt;BondCalculator!$B$12+BondCalculator!$B$7,N335+L336,BondCalculator!$B$12+BondCalculator!$B$7))</f>
        <v>0</v>
      </c>
      <c r="L336" s="66">
        <f>J336*BondCalculator!$B$5/12</f>
        <v>0</v>
      </c>
      <c r="M336" s="66">
        <f t="shared" si="47"/>
        <v>0</v>
      </c>
      <c r="N336" s="66">
        <f t="shared" si="48"/>
        <v>0</v>
      </c>
      <c r="P336" s="66">
        <f t="shared" si="49"/>
        <v>0</v>
      </c>
      <c r="Q336" s="67">
        <f>-PV(BondCalculator!$B$9/12,B336,0,1,0)</f>
        <v>0.18997717926328037</v>
      </c>
      <c r="S336" s="68">
        <f t="shared" si="50"/>
        <v>0</v>
      </c>
    </row>
    <row r="337" spans="1:19" ht="15" customHeight="1">
      <c r="A337" s="63" t="s">
        <v>123</v>
      </c>
      <c r="B337" s="74">
        <v>334</v>
      </c>
      <c r="C337" s="64">
        <f t="shared" si="53"/>
        <v>0</v>
      </c>
      <c r="D337" s="64">
        <f>IF(G336=0,0,IF(G336&lt;BondCalculator!$B$12,G336+E337,BondCalculator!$B$12))</f>
        <v>0</v>
      </c>
      <c r="E337" s="64">
        <f>C337*BondCalculator!$B$5/12</f>
        <v>0</v>
      </c>
      <c r="F337" s="64">
        <f t="shared" si="45"/>
        <v>0</v>
      </c>
      <c r="G337" s="64">
        <f t="shared" si="51"/>
        <v>0</v>
      </c>
      <c r="H337" s="76">
        <f t="shared" si="52"/>
        <v>0</v>
      </c>
      <c r="J337" s="66">
        <f t="shared" si="46"/>
        <v>0</v>
      </c>
      <c r="K337" s="66">
        <f>IF(N336=0,0,IF(N336&lt;BondCalculator!$B$12+BondCalculator!$B$7,N336+L337,BondCalculator!$B$12+BondCalculator!$B$7))</f>
        <v>0</v>
      </c>
      <c r="L337" s="66">
        <f>J337*BondCalculator!$B$5/12</f>
        <v>0</v>
      </c>
      <c r="M337" s="66">
        <f t="shared" si="47"/>
        <v>0</v>
      </c>
      <c r="N337" s="66">
        <f t="shared" si="48"/>
        <v>0</v>
      </c>
      <c r="P337" s="66">
        <f t="shared" si="49"/>
        <v>0</v>
      </c>
      <c r="Q337" s="67">
        <f>-PV(BondCalculator!$B$9/12,B337,0,1,0)</f>
        <v>0.1890320191674432</v>
      </c>
      <c r="S337" s="68">
        <f t="shared" si="50"/>
        <v>0</v>
      </c>
    </row>
    <row r="338" spans="1:19" ht="15" customHeight="1">
      <c r="A338" s="63" t="s">
        <v>123</v>
      </c>
      <c r="B338" s="74">
        <v>335</v>
      </c>
      <c r="C338" s="64">
        <f t="shared" si="53"/>
        <v>0</v>
      </c>
      <c r="D338" s="64">
        <f>IF(G337=0,0,IF(G337&lt;BondCalculator!$B$12,G337+E338,BondCalculator!$B$12))</f>
        <v>0</v>
      </c>
      <c r="E338" s="64">
        <f>C338*BondCalculator!$B$5/12</f>
        <v>0</v>
      </c>
      <c r="F338" s="64">
        <f t="shared" si="45"/>
        <v>0</v>
      </c>
      <c r="G338" s="64">
        <f t="shared" si="51"/>
        <v>0</v>
      </c>
      <c r="H338" s="76">
        <f t="shared" si="52"/>
        <v>0</v>
      </c>
      <c r="J338" s="66">
        <f t="shared" si="46"/>
        <v>0</v>
      </c>
      <c r="K338" s="66">
        <f>IF(N337=0,0,IF(N337&lt;BondCalculator!$B$12+BondCalculator!$B$7,N337+L338,BondCalculator!$B$12+BondCalculator!$B$7))</f>
        <v>0</v>
      </c>
      <c r="L338" s="66">
        <f>J338*BondCalculator!$B$5/12</f>
        <v>0</v>
      </c>
      <c r="M338" s="66">
        <f t="shared" si="47"/>
        <v>0</v>
      </c>
      <c r="N338" s="66">
        <f t="shared" si="48"/>
        <v>0</v>
      </c>
      <c r="P338" s="66">
        <f t="shared" si="49"/>
        <v>0</v>
      </c>
      <c r="Q338" s="67">
        <f>-PV(BondCalculator!$B$9/12,B338,0,1,0)</f>
        <v>0.18809156136064004</v>
      </c>
      <c r="S338" s="68">
        <f t="shared" si="50"/>
        <v>0</v>
      </c>
    </row>
    <row r="339" spans="1:19" ht="15" customHeight="1">
      <c r="A339" s="63" t="s">
        <v>123</v>
      </c>
      <c r="B339" s="74">
        <v>336</v>
      </c>
      <c r="C339" s="64">
        <f t="shared" si="53"/>
        <v>0</v>
      </c>
      <c r="D339" s="64">
        <f>IF(G338=0,0,IF(G338&lt;BondCalculator!$B$12,G338+E339,BondCalculator!$B$12))</f>
        <v>0</v>
      </c>
      <c r="E339" s="64">
        <f>C339*BondCalculator!$B$5/12</f>
        <v>0</v>
      </c>
      <c r="F339" s="64">
        <f t="shared" si="45"/>
        <v>0</v>
      </c>
      <c r="G339" s="64">
        <f t="shared" si="51"/>
        <v>0</v>
      </c>
      <c r="H339" s="76">
        <f t="shared" si="52"/>
        <v>0</v>
      </c>
      <c r="J339" s="66">
        <f t="shared" si="46"/>
        <v>0</v>
      </c>
      <c r="K339" s="66">
        <f>IF(N338=0,0,IF(N338&lt;BondCalculator!$B$12+BondCalculator!$B$7,N338+L339,BondCalculator!$B$12+BondCalculator!$B$7))</f>
        <v>0</v>
      </c>
      <c r="L339" s="66">
        <f>J339*BondCalculator!$B$5/12</f>
        <v>0</v>
      </c>
      <c r="M339" s="66">
        <f t="shared" si="47"/>
        <v>0</v>
      </c>
      <c r="N339" s="66">
        <f t="shared" si="48"/>
        <v>0</v>
      </c>
      <c r="P339" s="66">
        <f t="shared" si="49"/>
        <v>0</v>
      </c>
      <c r="Q339" s="67">
        <f>-PV(BondCalculator!$B$9/12,B339,0,1,0)</f>
        <v>0.18715578244839806</v>
      </c>
      <c r="S339" s="68">
        <f t="shared" si="50"/>
        <v>0</v>
      </c>
    </row>
    <row r="340" spans="1:19" ht="15" customHeight="1">
      <c r="A340" s="63" t="s">
        <v>124</v>
      </c>
      <c r="B340" s="74">
        <v>337</v>
      </c>
      <c r="C340" s="64">
        <f t="shared" si="53"/>
        <v>0</v>
      </c>
      <c r="D340" s="64">
        <f>IF(G339=0,0,IF(G339&lt;BondCalculator!$B$12,G339+E340,BondCalculator!$B$12))</f>
        <v>0</v>
      </c>
      <c r="E340" s="64">
        <f>C340*BondCalculator!$B$5/12</f>
        <v>0</v>
      </c>
      <c r="F340" s="64">
        <f t="shared" si="45"/>
        <v>0</v>
      </c>
      <c r="G340" s="64">
        <f t="shared" si="51"/>
        <v>0</v>
      </c>
      <c r="H340" s="76">
        <f t="shared" si="52"/>
        <v>0</v>
      </c>
      <c r="J340" s="66">
        <f t="shared" si="46"/>
        <v>0</v>
      </c>
      <c r="K340" s="66">
        <f>IF(N339=0,0,IF(N339&lt;BondCalculator!$B$12+BondCalculator!$B$7,N339+L340,BondCalculator!$B$12+BondCalculator!$B$7))</f>
        <v>0</v>
      </c>
      <c r="L340" s="66">
        <f>J340*BondCalculator!$B$5/12</f>
        <v>0</v>
      </c>
      <c r="M340" s="66">
        <f t="shared" si="47"/>
        <v>0</v>
      </c>
      <c r="N340" s="66">
        <f t="shared" si="48"/>
        <v>0</v>
      </c>
      <c r="P340" s="66">
        <f t="shared" si="49"/>
        <v>0</v>
      </c>
      <c r="Q340" s="67">
        <f>-PV(BondCalculator!$B$9/12,B340,0,1,0)</f>
        <v>0.1862246591526349</v>
      </c>
      <c r="S340" s="68">
        <f t="shared" si="50"/>
        <v>0</v>
      </c>
    </row>
    <row r="341" spans="1:19" ht="15" customHeight="1">
      <c r="A341" s="63" t="s">
        <v>124</v>
      </c>
      <c r="B341" s="74">
        <v>338</v>
      </c>
      <c r="C341" s="64">
        <f t="shared" si="53"/>
        <v>0</v>
      </c>
      <c r="D341" s="64">
        <f>IF(G340=0,0,IF(G340&lt;BondCalculator!$B$12,G340+E341,BondCalculator!$B$12))</f>
        <v>0</v>
      </c>
      <c r="E341" s="64">
        <f>C341*BondCalculator!$B$5/12</f>
        <v>0</v>
      </c>
      <c r="F341" s="64">
        <f t="shared" si="45"/>
        <v>0</v>
      </c>
      <c r="G341" s="64">
        <f t="shared" si="51"/>
        <v>0</v>
      </c>
      <c r="H341" s="76">
        <f t="shared" si="52"/>
        <v>0</v>
      </c>
      <c r="J341" s="66">
        <f t="shared" si="46"/>
        <v>0</v>
      </c>
      <c r="K341" s="66">
        <f>IF(N340=0,0,IF(N340&lt;BondCalculator!$B$12+BondCalculator!$B$7,N340+L341,BondCalculator!$B$12+BondCalculator!$B$7))</f>
        <v>0</v>
      </c>
      <c r="L341" s="66">
        <f>J341*BondCalculator!$B$5/12</f>
        <v>0</v>
      </c>
      <c r="M341" s="66">
        <f t="shared" si="47"/>
        <v>0</v>
      </c>
      <c r="N341" s="66">
        <f t="shared" si="48"/>
        <v>0</v>
      </c>
      <c r="P341" s="66">
        <f t="shared" si="49"/>
        <v>0</v>
      </c>
      <c r="Q341" s="67">
        <f>-PV(BondCalculator!$B$9/12,B341,0,1,0)</f>
        <v>0.18529816831107954</v>
      </c>
      <c r="S341" s="68">
        <f t="shared" si="50"/>
        <v>0</v>
      </c>
    </row>
    <row r="342" spans="1:19" ht="15" customHeight="1">
      <c r="A342" s="63" t="s">
        <v>124</v>
      </c>
      <c r="B342" s="74">
        <v>339</v>
      </c>
      <c r="C342" s="64">
        <f t="shared" si="53"/>
        <v>0</v>
      </c>
      <c r="D342" s="64">
        <f>IF(G341=0,0,IF(G341&lt;BondCalculator!$B$12,G341+E342,BondCalculator!$B$12))</f>
        <v>0</v>
      </c>
      <c r="E342" s="64">
        <f>C342*BondCalculator!$B$5/12</f>
        <v>0</v>
      </c>
      <c r="F342" s="64">
        <f t="shared" si="45"/>
        <v>0</v>
      </c>
      <c r="G342" s="64">
        <f t="shared" si="51"/>
        <v>0</v>
      </c>
      <c r="H342" s="76">
        <f t="shared" si="52"/>
        <v>0</v>
      </c>
      <c r="J342" s="66">
        <f t="shared" si="46"/>
        <v>0</v>
      </c>
      <c r="K342" s="66">
        <f>IF(N341=0,0,IF(N341&lt;BondCalculator!$B$12+BondCalculator!$B$7,N341+L342,BondCalculator!$B$12+BondCalculator!$B$7))</f>
        <v>0</v>
      </c>
      <c r="L342" s="66">
        <f>J342*BondCalculator!$B$5/12</f>
        <v>0</v>
      </c>
      <c r="M342" s="66">
        <f t="shared" si="47"/>
        <v>0</v>
      </c>
      <c r="N342" s="66">
        <f t="shared" si="48"/>
        <v>0</v>
      </c>
      <c r="P342" s="66">
        <f t="shared" si="49"/>
        <v>0</v>
      </c>
      <c r="Q342" s="67">
        <f>-PV(BondCalculator!$B$9/12,B342,0,1,0)</f>
        <v>0.18437628687669608</v>
      </c>
      <c r="S342" s="68">
        <f t="shared" si="50"/>
        <v>0</v>
      </c>
    </row>
    <row r="343" spans="1:19" ht="15" customHeight="1">
      <c r="A343" s="63" t="s">
        <v>124</v>
      </c>
      <c r="B343" s="74">
        <v>340</v>
      </c>
      <c r="C343" s="64">
        <f t="shared" si="53"/>
        <v>0</v>
      </c>
      <c r="D343" s="64">
        <f>IF(G342=0,0,IF(G342&lt;BondCalculator!$B$12,G342+E343,BondCalculator!$B$12))</f>
        <v>0</v>
      </c>
      <c r="E343" s="64">
        <f>C343*BondCalculator!$B$5/12</f>
        <v>0</v>
      </c>
      <c r="F343" s="64">
        <f t="shared" si="45"/>
        <v>0</v>
      </c>
      <c r="G343" s="64">
        <f t="shared" si="51"/>
        <v>0</v>
      </c>
      <c r="H343" s="76">
        <f t="shared" si="52"/>
        <v>0</v>
      </c>
      <c r="J343" s="66">
        <f t="shared" si="46"/>
        <v>0</v>
      </c>
      <c r="K343" s="66">
        <f>IF(N342=0,0,IF(N342&lt;BondCalculator!$B$12+BondCalculator!$B$7,N342+L343,BondCalculator!$B$12+BondCalculator!$B$7))</f>
        <v>0</v>
      </c>
      <c r="L343" s="66">
        <f>J343*BondCalculator!$B$5/12</f>
        <v>0</v>
      </c>
      <c r="M343" s="66">
        <f t="shared" si="47"/>
        <v>0</v>
      </c>
      <c r="N343" s="66">
        <f t="shared" si="48"/>
        <v>0</v>
      </c>
      <c r="P343" s="66">
        <f t="shared" si="49"/>
        <v>0</v>
      </c>
      <c r="Q343" s="67">
        <f>-PV(BondCalculator!$B$9/12,B343,0,1,0)</f>
        <v>0.18345899191711054</v>
      </c>
      <c r="S343" s="68">
        <f t="shared" si="50"/>
        <v>0</v>
      </c>
    </row>
    <row r="344" spans="1:19" ht="15" customHeight="1">
      <c r="A344" s="63" t="s">
        <v>124</v>
      </c>
      <c r="B344" s="74">
        <v>341</v>
      </c>
      <c r="C344" s="64">
        <f t="shared" si="53"/>
        <v>0</v>
      </c>
      <c r="D344" s="64">
        <f>IF(G343=0,0,IF(G343&lt;BondCalculator!$B$12,G343+E344,BondCalculator!$B$12))</f>
        <v>0</v>
      </c>
      <c r="E344" s="64">
        <f>C344*BondCalculator!$B$5/12</f>
        <v>0</v>
      </c>
      <c r="F344" s="64">
        <f t="shared" si="45"/>
        <v>0</v>
      </c>
      <c r="G344" s="64">
        <f t="shared" si="51"/>
        <v>0</v>
      </c>
      <c r="H344" s="76">
        <f t="shared" si="52"/>
        <v>0</v>
      </c>
      <c r="J344" s="66">
        <f t="shared" si="46"/>
        <v>0</v>
      </c>
      <c r="K344" s="66">
        <f>IF(N343=0,0,IF(N343&lt;BondCalculator!$B$12+BondCalculator!$B$7,N343+L344,BondCalculator!$B$12+BondCalculator!$B$7))</f>
        <v>0</v>
      </c>
      <c r="L344" s="66">
        <f>J344*BondCalculator!$B$5/12</f>
        <v>0</v>
      </c>
      <c r="M344" s="66">
        <f t="shared" si="47"/>
        <v>0</v>
      </c>
      <c r="N344" s="66">
        <f t="shared" si="48"/>
        <v>0</v>
      </c>
      <c r="P344" s="66">
        <f t="shared" si="49"/>
        <v>0</v>
      </c>
      <c r="Q344" s="67">
        <f>-PV(BondCalculator!$B$9/12,B344,0,1,0)</f>
        <v>0.1825462606140404</v>
      </c>
      <c r="S344" s="68">
        <f t="shared" si="50"/>
        <v>0</v>
      </c>
    </row>
    <row r="345" spans="1:19" ht="15" customHeight="1">
      <c r="A345" s="63" t="s">
        <v>124</v>
      </c>
      <c r="B345" s="74">
        <v>342</v>
      </c>
      <c r="C345" s="64">
        <f t="shared" si="53"/>
        <v>0</v>
      </c>
      <c r="D345" s="64">
        <f>IF(G344=0,0,IF(G344&lt;BondCalculator!$B$12,G344+E345,BondCalculator!$B$12))</f>
        <v>0</v>
      </c>
      <c r="E345" s="64">
        <f>C345*BondCalculator!$B$5/12</f>
        <v>0</v>
      </c>
      <c r="F345" s="64">
        <f t="shared" si="45"/>
        <v>0</v>
      </c>
      <c r="G345" s="64">
        <f t="shared" si="51"/>
        <v>0</v>
      </c>
      <c r="H345" s="76">
        <f t="shared" si="52"/>
        <v>0</v>
      </c>
      <c r="J345" s="66">
        <f t="shared" si="46"/>
        <v>0</v>
      </c>
      <c r="K345" s="66">
        <f>IF(N344=0,0,IF(N344&lt;BondCalculator!$B$12+BondCalculator!$B$7,N344+L345,BondCalculator!$B$12+BondCalculator!$B$7))</f>
        <v>0</v>
      </c>
      <c r="L345" s="66">
        <f>J345*BondCalculator!$B$5/12</f>
        <v>0</v>
      </c>
      <c r="M345" s="66">
        <f t="shared" si="47"/>
        <v>0</v>
      </c>
      <c r="N345" s="66">
        <f t="shared" si="48"/>
        <v>0</v>
      </c>
      <c r="P345" s="66">
        <f t="shared" si="49"/>
        <v>0</v>
      </c>
      <c r="Q345" s="67">
        <f>-PV(BondCalculator!$B$9/12,B345,0,1,0)</f>
        <v>0.1816380702627268</v>
      </c>
      <c r="S345" s="68">
        <f t="shared" si="50"/>
        <v>0</v>
      </c>
    </row>
    <row r="346" spans="1:19" ht="15" customHeight="1">
      <c r="A346" s="63" t="s">
        <v>124</v>
      </c>
      <c r="B346" s="74">
        <v>343</v>
      </c>
      <c r="C346" s="64">
        <f t="shared" si="53"/>
        <v>0</v>
      </c>
      <c r="D346" s="64">
        <f>IF(G345=0,0,IF(G345&lt;BondCalculator!$B$12,G345+E346,BondCalculator!$B$12))</f>
        <v>0</v>
      </c>
      <c r="E346" s="64">
        <f>C346*BondCalculator!$B$5/12</f>
        <v>0</v>
      </c>
      <c r="F346" s="64">
        <f t="shared" si="45"/>
        <v>0</v>
      </c>
      <c r="G346" s="64">
        <f t="shared" si="51"/>
        <v>0</v>
      </c>
      <c r="H346" s="76">
        <f t="shared" si="52"/>
        <v>0</v>
      </c>
      <c r="J346" s="66">
        <f t="shared" si="46"/>
        <v>0</v>
      </c>
      <c r="K346" s="66">
        <f>IF(N345=0,0,IF(N345&lt;BondCalculator!$B$12+BondCalculator!$B$7,N345+L346,BondCalculator!$B$12+BondCalculator!$B$7))</f>
        <v>0</v>
      </c>
      <c r="L346" s="66">
        <f>J346*BondCalculator!$B$5/12</f>
        <v>0</v>
      </c>
      <c r="M346" s="66">
        <f t="shared" si="47"/>
        <v>0</v>
      </c>
      <c r="N346" s="66">
        <f t="shared" si="48"/>
        <v>0</v>
      </c>
      <c r="P346" s="66">
        <f t="shared" si="49"/>
        <v>0</v>
      </c>
      <c r="Q346" s="67">
        <f>-PV(BondCalculator!$B$9/12,B346,0,1,0)</f>
        <v>0.18073439827136997</v>
      </c>
      <c r="S346" s="68">
        <f t="shared" si="50"/>
        <v>0</v>
      </c>
    </row>
    <row r="347" spans="1:19" ht="15" customHeight="1">
      <c r="A347" s="63" t="s">
        <v>124</v>
      </c>
      <c r="B347" s="74">
        <v>344</v>
      </c>
      <c r="C347" s="64">
        <f t="shared" si="53"/>
        <v>0</v>
      </c>
      <c r="D347" s="64">
        <f>IF(G346=0,0,IF(G346&lt;BondCalculator!$B$12,G346+E347,BondCalculator!$B$12))</f>
        <v>0</v>
      </c>
      <c r="E347" s="64">
        <f>C347*BondCalculator!$B$5/12</f>
        <v>0</v>
      </c>
      <c r="F347" s="64">
        <f t="shared" si="45"/>
        <v>0</v>
      </c>
      <c r="G347" s="64">
        <f t="shared" si="51"/>
        <v>0</v>
      </c>
      <c r="H347" s="76">
        <f t="shared" si="52"/>
        <v>0</v>
      </c>
      <c r="J347" s="66">
        <f t="shared" si="46"/>
        <v>0</v>
      </c>
      <c r="K347" s="66">
        <f>IF(N346=0,0,IF(N346&lt;BondCalculator!$B$12+BondCalculator!$B$7,N346+L347,BondCalculator!$B$12+BondCalculator!$B$7))</f>
        <v>0</v>
      </c>
      <c r="L347" s="66">
        <f>J347*BondCalculator!$B$5/12</f>
        <v>0</v>
      </c>
      <c r="M347" s="66">
        <f t="shared" si="47"/>
        <v>0</v>
      </c>
      <c r="N347" s="66">
        <f t="shared" si="48"/>
        <v>0</v>
      </c>
      <c r="P347" s="66">
        <f t="shared" si="49"/>
        <v>0</v>
      </c>
      <c r="Q347" s="67">
        <f>-PV(BondCalculator!$B$9/12,B347,0,1,0)</f>
        <v>0.17983522216056713</v>
      </c>
      <c r="S347" s="68">
        <f t="shared" si="50"/>
        <v>0</v>
      </c>
    </row>
    <row r="348" spans="1:19" ht="15" customHeight="1">
      <c r="A348" s="63" t="s">
        <v>124</v>
      </c>
      <c r="B348" s="74">
        <v>345</v>
      </c>
      <c r="C348" s="64">
        <f t="shared" si="53"/>
        <v>0</v>
      </c>
      <c r="D348" s="64">
        <f>IF(G347=0,0,IF(G347&lt;BondCalculator!$B$12,G347+E348,BondCalculator!$B$12))</f>
        <v>0</v>
      </c>
      <c r="E348" s="64">
        <f>C348*BondCalculator!$B$5/12</f>
        <v>0</v>
      </c>
      <c r="F348" s="64">
        <f t="shared" si="45"/>
        <v>0</v>
      </c>
      <c r="G348" s="64">
        <f t="shared" si="51"/>
        <v>0</v>
      </c>
      <c r="H348" s="76">
        <f t="shared" si="52"/>
        <v>0</v>
      </c>
      <c r="J348" s="66">
        <f t="shared" si="46"/>
        <v>0</v>
      </c>
      <c r="K348" s="66">
        <f>IF(N347=0,0,IF(N347&lt;BondCalculator!$B$12+BondCalculator!$B$7,N347+L348,BondCalculator!$B$12+BondCalculator!$B$7))</f>
        <v>0</v>
      </c>
      <c r="L348" s="66">
        <f>J348*BondCalculator!$B$5/12</f>
        <v>0</v>
      </c>
      <c r="M348" s="66">
        <f t="shared" si="47"/>
        <v>0</v>
      </c>
      <c r="N348" s="66">
        <f t="shared" si="48"/>
        <v>0</v>
      </c>
      <c r="P348" s="66">
        <f t="shared" si="49"/>
        <v>0</v>
      </c>
      <c r="Q348" s="67">
        <f>-PV(BondCalculator!$B$9/12,B348,0,1,0)</f>
        <v>0.1789405195627534</v>
      </c>
      <c r="S348" s="68">
        <f t="shared" si="50"/>
        <v>0</v>
      </c>
    </row>
    <row r="349" spans="1:19" ht="15" customHeight="1">
      <c r="A349" s="63" t="s">
        <v>124</v>
      </c>
      <c r="B349" s="74">
        <v>346</v>
      </c>
      <c r="C349" s="64">
        <f t="shared" si="53"/>
        <v>0</v>
      </c>
      <c r="D349" s="64">
        <f>IF(G348=0,0,IF(G348&lt;BondCalculator!$B$12,G348+E349,BondCalculator!$B$12))</f>
        <v>0</v>
      </c>
      <c r="E349" s="64">
        <f>C349*BondCalculator!$B$5/12</f>
        <v>0</v>
      </c>
      <c r="F349" s="64">
        <f t="shared" si="45"/>
        <v>0</v>
      </c>
      <c r="G349" s="64">
        <f t="shared" si="51"/>
        <v>0</v>
      </c>
      <c r="H349" s="76">
        <f t="shared" si="52"/>
        <v>0</v>
      </c>
      <c r="J349" s="66">
        <f t="shared" si="46"/>
        <v>0</v>
      </c>
      <c r="K349" s="66">
        <f>IF(N348=0,0,IF(N348&lt;BondCalculator!$B$12+BondCalculator!$B$7,N348+L349,BondCalculator!$B$12+BondCalculator!$B$7))</f>
        <v>0</v>
      </c>
      <c r="L349" s="66">
        <f>J349*BondCalculator!$B$5/12</f>
        <v>0</v>
      </c>
      <c r="M349" s="66">
        <f t="shared" si="47"/>
        <v>0</v>
      </c>
      <c r="N349" s="66">
        <f t="shared" si="48"/>
        <v>0</v>
      </c>
      <c r="P349" s="66">
        <f t="shared" si="49"/>
        <v>0</v>
      </c>
      <c r="Q349" s="67">
        <f>-PV(BondCalculator!$B$9/12,B349,0,1,0)</f>
        <v>0.17805026822164519</v>
      </c>
      <c r="S349" s="68">
        <f t="shared" si="50"/>
        <v>0</v>
      </c>
    </row>
    <row r="350" spans="1:19" ht="15" customHeight="1">
      <c r="A350" s="63" t="s">
        <v>124</v>
      </c>
      <c r="B350" s="74">
        <v>347</v>
      </c>
      <c r="C350" s="64">
        <f t="shared" si="53"/>
        <v>0</v>
      </c>
      <c r="D350" s="64">
        <f>IF(G349=0,0,IF(G349&lt;BondCalculator!$B$12,G349+E350,BondCalculator!$B$12))</f>
        <v>0</v>
      </c>
      <c r="E350" s="64">
        <f>C350*BondCalculator!$B$5/12</f>
        <v>0</v>
      </c>
      <c r="F350" s="64">
        <f t="shared" si="45"/>
        <v>0</v>
      </c>
      <c r="G350" s="64">
        <f t="shared" si="51"/>
        <v>0</v>
      </c>
      <c r="H350" s="76">
        <f t="shared" si="52"/>
        <v>0</v>
      </c>
      <c r="J350" s="66">
        <f t="shared" si="46"/>
        <v>0</v>
      </c>
      <c r="K350" s="66">
        <f>IF(N349=0,0,IF(N349&lt;BondCalculator!$B$12+BondCalculator!$B$7,N349+L350,BondCalculator!$B$12+BondCalculator!$B$7))</f>
        <v>0</v>
      </c>
      <c r="L350" s="66">
        <f>J350*BondCalculator!$B$5/12</f>
        <v>0</v>
      </c>
      <c r="M350" s="66">
        <f t="shared" si="47"/>
        <v>0</v>
      </c>
      <c r="N350" s="66">
        <f t="shared" si="48"/>
        <v>0</v>
      </c>
      <c r="P350" s="66">
        <f t="shared" si="49"/>
        <v>0</v>
      </c>
      <c r="Q350" s="67">
        <f>-PV(BondCalculator!$B$9/12,B350,0,1,0)</f>
        <v>0.1771644459916868</v>
      </c>
      <c r="S350" s="68">
        <f t="shared" si="50"/>
        <v>0</v>
      </c>
    </row>
    <row r="351" spans="1:19" ht="15" customHeight="1">
      <c r="A351" s="63" t="s">
        <v>124</v>
      </c>
      <c r="B351" s="74">
        <v>348</v>
      </c>
      <c r="C351" s="64">
        <f t="shared" si="53"/>
        <v>0</v>
      </c>
      <c r="D351" s="64">
        <f>IF(G350=0,0,IF(G350&lt;BondCalculator!$B$12,G350+E351,BondCalculator!$B$12))</f>
        <v>0</v>
      </c>
      <c r="E351" s="64">
        <f>C351*BondCalculator!$B$5/12</f>
        <v>0</v>
      </c>
      <c r="F351" s="64">
        <f t="shared" si="45"/>
        <v>0</v>
      </c>
      <c r="G351" s="64">
        <f t="shared" si="51"/>
        <v>0</v>
      </c>
      <c r="H351" s="76">
        <f t="shared" si="52"/>
        <v>0</v>
      </c>
      <c r="J351" s="66">
        <f t="shared" si="46"/>
        <v>0</v>
      </c>
      <c r="K351" s="66">
        <f>IF(N350=0,0,IF(N350&lt;BondCalculator!$B$12+BondCalculator!$B$7,N350+L351,BondCalculator!$B$12+BondCalculator!$B$7))</f>
        <v>0</v>
      </c>
      <c r="L351" s="66">
        <f>J351*BondCalculator!$B$5/12</f>
        <v>0</v>
      </c>
      <c r="M351" s="66">
        <f t="shared" si="47"/>
        <v>0</v>
      </c>
      <c r="N351" s="66">
        <f t="shared" si="48"/>
        <v>0</v>
      </c>
      <c r="P351" s="66">
        <f t="shared" si="49"/>
        <v>0</v>
      </c>
      <c r="Q351" s="67">
        <f>-PV(BondCalculator!$B$9/12,B351,0,1,0)</f>
        <v>0.17628303083749933</v>
      </c>
      <c r="S351" s="68">
        <f t="shared" si="50"/>
        <v>0</v>
      </c>
    </row>
    <row r="352" spans="1:19" ht="15" customHeight="1">
      <c r="A352" s="63" t="s">
        <v>125</v>
      </c>
      <c r="B352" s="74">
        <v>349</v>
      </c>
      <c r="C352" s="64">
        <f t="shared" si="53"/>
        <v>0</v>
      </c>
      <c r="D352" s="64">
        <f>IF(G351=0,0,IF(G351&lt;BondCalculator!$B$12,G351+E352,BondCalculator!$B$12))</f>
        <v>0</v>
      </c>
      <c r="E352" s="64">
        <f>C352*BondCalculator!$B$5/12</f>
        <v>0</v>
      </c>
      <c r="F352" s="64">
        <f t="shared" si="45"/>
        <v>0</v>
      </c>
      <c r="G352" s="64">
        <f t="shared" si="51"/>
        <v>0</v>
      </c>
      <c r="H352" s="76">
        <f t="shared" si="52"/>
        <v>0</v>
      </c>
      <c r="J352" s="66">
        <f t="shared" si="46"/>
        <v>0</v>
      </c>
      <c r="K352" s="66">
        <f>IF(N351=0,0,IF(N351&lt;BondCalculator!$B$12+BondCalculator!$B$7,N351+L352,BondCalculator!$B$12+BondCalculator!$B$7))</f>
        <v>0</v>
      </c>
      <c r="L352" s="66">
        <f>J352*BondCalculator!$B$5/12</f>
        <v>0</v>
      </c>
      <c r="M352" s="66">
        <f t="shared" si="47"/>
        <v>0</v>
      </c>
      <c r="N352" s="66">
        <f t="shared" si="48"/>
        <v>0</v>
      </c>
      <c r="P352" s="66">
        <f t="shared" si="49"/>
        <v>0</v>
      </c>
      <c r="Q352" s="67">
        <f>-PV(BondCalculator!$B$9/12,B352,0,1,0)</f>
        <v>0.1754060008333327</v>
      </c>
      <c r="S352" s="68">
        <f t="shared" si="50"/>
        <v>0</v>
      </c>
    </row>
    <row r="353" spans="1:19" ht="15" customHeight="1">
      <c r="A353" s="63" t="s">
        <v>125</v>
      </c>
      <c r="B353" s="74">
        <v>350</v>
      </c>
      <c r="C353" s="64">
        <f t="shared" si="53"/>
        <v>0</v>
      </c>
      <c r="D353" s="64">
        <f>IF(G352=0,0,IF(G352&lt;BondCalculator!$B$12,G352+E353,BondCalculator!$B$12))</f>
        <v>0</v>
      </c>
      <c r="E353" s="64">
        <f>C353*BondCalculator!$B$5/12</f>
        <v>0</v>
      </c>
      <c r="F353" s="64">
        <f t="shared" si="45"/>
        <v>0</v>
      </c>
      <c r="G353" s="64">
        <f t="shared" si="51"/>
        <v>0</v>
      </c>
      <c r="H353" s="76">
        <f t="shared" si="52"/>
        <v>0</v>
      </c>
      <c r="J353" s="66">
        <f t="shared" si="46"/>
        <v>0</v>
      </c>
      <c r="K353" s="66">
        <f>IF(N352=0,0,IF(N352&lt;BondCalculator!$B$12+BondCalculator!$B$7,N352+L353,BondCalculator!$B$12+BondCalculator!$B$7))</f>
        <v>0</v>
      </c>
      <c r="L353" s="66">
        <f>J353*BondCalculator!$B$5/12</f>
        <v>0</v>
      </c>
      <c r="M353" s="66">
        <f t="shared" si="47"/>
        <v>0</v>
      </c>
      <c r="N353" s="66">
        <f t="shared" si="48"/>
        <v>0</v>
      </c>
      <c r="P353" s="66">
        <f t="shared" si="49"/>
        <v>0</v>
      </c>
      <c r="Q353" s="67">
        <f>-PV(BondCalculator!$B$9/12,B353,0,1,0)</f>
        <v>0.17453333416252012</v>
      </c>
      <c r="S353" s="68">
        <f t="shared" si="50"/>
        <v>0</v>
      </c>
    </row>
    <row r="354" spans="1:19" ht="15" customHeight="1">
      <c r="A354" s="63" t="s">
        <v>125</v>
      </c>
      <c r="B354" s="74">
        <v>351</v>
      </c>
      <c r="C354" s="64">
        <f t="shared" si="53"/>
        <v>0</v>
      </c>
      <c r="D354" s="64">
        <f>IF(G353=0,0,IF(G353&lt;BondCalculator!$B$12,G353+E354,BondCalculator!$B$12))</f>
        <v>0</v>
      </c>
      <c r="E354" s="64">
        <f>C354*BondCalculator!$B$5/12</f>
        <v>0</v>
      </c>
      <c r="F354" s="64">
        <f t="shared" si="45"/>
        <v>0</v>
      </c>
      <c r="G354" s="64">
        <f t="shared" si="51"/>
        <v>0</v>
      </c>
      <c r="H354" s="76">
        <f t="shared" si="52"/>
        <v>0</v>
      </c>
      <c r="J354" s="66">
        <f t="shared" si="46"/>
        <v>0</v>
      </c>
      <c r="K354" s="66">
        <f>IF(N353=0,0,IF(N353&lt;BondCalculator!$B$12+BondCalculator!$B$7,N353+L354,BondCalculator!$B$12+BondCalculator!$B$7))</f>
        <v>0</v>
      </c>
      <c r="L354" s="66">
        <f>J354*BondCalculator!$B$5/12</f>
        <v>0</v>
      </c>
      <c r="M354" s="66">
        <f t="shared" si="47"/>
        <v>0</v>
      </c>
      <c r="N354" s="66">
        <f t="shared" si="48"/>
        <v>0</v>
      </c>
      <c r="P354" s="66">
        <f t="shared" si="49"/>
        <v>0</v>
      </c>
      <c r="Q354" s="67">
        <f>-PV(BondCalculator!$B$9/12,B354,0,1,0)</f>
        <v>0.1736650091169355</v>
      </c>
      <c r="S354" s="68">
        <f t="shared" si="50"/>
        <v>0</v>
      </c>
    </row>
    <row r="355" spans="1:19" ht="15" customHeight="1">
      <c r="A355" s="63" t="s">
        <v>125</v>
      </c>
      <c r="B355" s="74">
        <v>352</v>
      </c>
      <c r="C355" s="64">
        <f t="shared" si="53"/>
        <v>0</v>
      </c>
      <c r="D355" s="64">
        <f>IF(G354=0,0,IF(G354&lt;BondCalculator!$B$12,G354+E355,BondCalculator!$B$12))</f>
        <v>0</v>
      </c>
      <c r="E355" s="64">
        <f>C355*BondCalculator!$B$5/12</f>
        <v>0</v>
      </c>
      <c r="F355" s="64">
        <f t="shared" si="45"/>
        <v>0</v>
      </c>
      <c r="G355" s="64">
        <f t="shared" si="51"/>
        <v>0</v>
      </c>
      <c r="H355" s="76">
        <f t="shared" si="52"/>
        <v>0</v>
      </c>
      <c r="J355" s="66">
        <f t="shared" si="46"/>
        <v>0</v>
      </c>
      <c r="K355" s="66">
        <f>IF(N354=0,0,IF(N354&lt;BondCalculator!$B$12+BondCalculator!$B$7,N354+L355,BondCalculator!$B$12+BondCalculator!$B$7))</f>
        <v>0</v>
      </c>
      <c r="L355" s="66">
        <f>J355*BondCalculator!$B$5/12</f>
        <v>0</v>
      </c>
      <c r="M355" s="66">
        <f t="shared" si="47"/>
        <v>0</v>
      </c>
      <c r="N355" s="66">
        <f t="shared" si="48"/>
        <v>0</v>
      </c>
      <c r="P355" s="66">
        <f t="shared" si="49"/>
        <v>0</v>
      </c>
      <c r="Q355" s="67">
        <f>-PV(BondCalculator!$B$9/12,B355,0,1,0)</f>
        <v>0.17280100409645324</v>
      </c>
      <c r="S355" s="68">
        <f t="shared" si="50"/>
        <v>0</v>
      </c>
    </row>
    <row r="356" spans="1:19" ht="15" customHeight="1">
      <c r="A356" s="63" t="s">
        <v>125</v>
      </c>
      <c r="B356" s="74">
        <v>353</v>
      </c>
      <c r="C356" s="64">
        <f t="shared" si="53"/>
        <v>0</v>
      </c>
      <c r="D356" s="64">
        <f>IF(G355=0,0,IF(G355&lt;BondCalculator!$B$12,G355+E356,BondCalculator!$B$12))</f>
        <v>0</v>
      </c>
      <c r="E356" s="64">
        <f>C356*BondCalculator!$B$5/12</f>
        <v>0</v>
      </c>
      <c r="F356" s="64">
        <f t="shared" si="45"/>
        <v>0</v>
      </c>
      <c r="G356" s="64">
        <f t="shared" si="51"/>
        <v>0</v>
      </c>
      <c r="H356" s="76">
        <f t="shared" si="52"/>
        <v>0</v>
      </c>
      <c r="J356" s="66">
        <f t="shared" si="46"/>
        <v>0</v>
      </c>
      <c r="K356" s="66">
        <f>IF(N355=0,0,IF(N355&lt;BondCalculator!$B$12+BondCalculator!$B$7,N355+L356,BondCalculator!$B$12+BondCalculator!$B$7))</f>
        <v>0</v>
      </c>
      <c r="L356" s="66">
        <f>J356*BondCalculator!$B$5/12</f>
        <v>0</v>
      </c>
      <c r="M356" s="66">
        <f t="shared" si="47"/>
        <v>0</v>
      </c>
      <c r="N356" s="66">
        <f t="shared" si="48"/>
        <v>0</v>
      </c>
      <c r="P356" s="66">
        <f t="shared" si="49"/>
        <v>0</v>
      </c>
      <c r="Q356" s="67">
        <f>-PV(BondCalculator!$B$9/12,B356,0,1,0)</f>
        <v>0.1719412976084112</v>
      </c>
      <c r="S356" s="68">
        <f t="shared" si="50"/>
        <v>0</v>
      </c>
    </row>
    <row r="357" spans="1:19" ht="15" customHeight="1">
      <c r="A357" s="63" t="s">
        <v>125</v>
      </c>
      <c r="B357" s="74">
        <v>354</v>
      </c>
      <c r="C357" s="64">
        <f t="shared" si="53"/>
        <v>0</v>
      </c>
      <c r="D357" s="64">
        <f>IF(G356=0,0,IF(G356&lt;BondCalculator!$B$12,G356+E357,BondCalculator!$B$12))</f>
        <v>0</v>
      </c>
      <c r="E357" s="64">
        <f>C357*BondCalculator!$B$5/12</f>
        <v>0</v>
      </c>
      <c r="F357" s="64">
        <f t="shared" si="45"/>
        <v>0</v>
      </c>
      <c r="G357" s="64">
        <f t="shared" si="51"/>
        <v>0</v>
      </c>
      <c r="H357" s="76">
        <f t="shared" si="52"/>
        <v>0</v>
      </c>
      <c r="J357" s="66">
        <f t="shared" si="46"/>
        <v>0</v>
      </c>
      <c r="K357" s="66">
        <f>IF(N356=0,0,IF(N356&lt;BondCalculator!$B$12+BondCalculator!$B$7,N356+L357,BondCalculator!$B$12+BondCalculator!$B$7))</f>
        <v>0</v>
      </c>
      <c r="L357" s="66">
        <f>J357*BondCalculator!$B$5/12</f>
        <v>0</v>
      </c>
      <c r="M357" s="66">
        <f t="shared" si="47"/>
        <v>0</v>
      </c>
      <c r="N357" s="66">
        <f t="shared" si="48"/>
        <v>0</v>
      </c>
      <c r="P357" s="66">
        <f t="shared" si="49"/>
        <v>0</v>
      </c>
      <c r="Q357" s="67">
        <f>-PV(BondCalculator!$B$9/12,B357,0,1,0)</f>
        <v>0.17108586826707584</v>
      </c>
      <c r="S357" s="68">
        <f t="shared" si="50"/>
        <v>0</v>
      </c>
    </row>
    <row r="358" spans="1:19" ht="15" customHeight="1">
      <c r="A358" s="63" t="s">
        <v>125</v>
      </c>
      <c r="B358" s="74">
        <v>355</v>
      </c>
      <c r="C358" s="64">
        <f t="shared" si="53"/>
        <v>0</v>
      </c>
      <c r="D358" s="64">
        <f>IF(G357=0,0,IF(G357&lt;BondCalculator!$B$12,G357+E358,BondCalculator!$B$12))</f>
        <v>0</v>
      </c>
      <c r="E358" s="64">
        <f>C358*BondCalculator!$B$5/12</f>
        <v>0</v>
      </c>
      <c r="F358" s="64">
        <f t="shared" si="45"/>
        <v>0</v>
      </c>
      <c r="G358" s="64">
        <f t="shared" si="51"/>
        <v>0</v>
      </c>
      <c r="H358" s="76">
        <f t="shared" si="52"/>
        <v>0</v>
      </c>
      <c r="J358" s="66">
        <f t="shared" si="46"/>
        <v>0</v>
      </c>
      <c r="K358" s="66">
        <f>IF(N357=0,0,IF(N357&lt;BondCalculator!$B$12+BondCalculator!$B$7,N357+L358,BondCalculator!$B$12+BondCalculator!$B$7))</f>
        <v>0</v>
      </c>
      <c r="L358" s="66">
        <f>J358*BondCalculator!$B$5/12</f>
        <v>0</v>
      </c>
      <c r="M358" s="66">
        <f t="shared" si="47"/>
        <v>0</v>
      </c>
      <c r="N358" s="66">
        <f t="shared" si="48"/>
        <v>0</v>
      </c>
      <c r="P358" s="66">
        <f t="shared" si="49"/>
        <v>0</v>
      </c>
      <c r="Q358" s="67">
        <f>-PV(BondCalculator!$B$9/12,B358,0,1,0)</f>
        <v>0.1702346947931103</v>
      </c>
      <c r="S358" s="68">
        <f t="shared" si="50"/>
        <v>0</v>
      </c>
    </row>
    <row r="359" spans="1:19" ht="15" customHeight="1">
      <c r="A359" s="63" t="s">
        <v>125</v>
      </c>
      <c r="B359" s="74">
        <v>356</v>
      </c>
      <c r="C359" s="64">
        <f t="shared" si="53"/>
        <v>0</v>
      </c>
      <c r="D359" s="64">
        <f>IF(G358=0,0,IF(G358&lt;BondCalculator!$B$12,G358+E359,BondCalculator!$B$12))</f>
        <v>0</v>
      </c>
      <c r="E359" s="64">
        <f>C359*BondCalculator!$B$5/12</f>
        <v>0</v>
      </c>
      <c r="F359" s="64">
        <f t="shared" si="45"/>
        <v>0</v>
      </c>
      <c r="G359" s="64">
        <f t="shared" si="51"/>
        <v>0</v>
      </c>
      <c r="H359" s="76">
        <f t="shared" si="52"/>
        <v>0</v>
      </c>
      <c r="J359" s="66">
        <f t="shared" si="46"/>
        <v>0</v>
      </c>
      <c r="K359" s="66">
        <f>IF(N358=0,0,IF(N358&lt;BondCalculator!$B$12+BondCalculator!$B$7,N358+L359,BondCalculator!$B$12+BondCalculator!$B$7))</f>
        <v>0</v>
      </c>
      <c r="L359" s="66">
        <f>J359*BondCalculator!$B$5/12</f>
        <v>0</v>
      </c>
      <c r="M359" s="66">
        <f t="shared" si="47"/>
        <v>0</v>
      </c>
      <c r="N359" s="66">
        <f t="shared" si="48"/>
        <v>0</v>
      </c>
      <c r="P359" s="66">
        <f t="shared" si="49"/>
        <v>0</v>
      </c>
      <c r="Q359" s="67">
        <f>-PV(BondCalculator!$B$9/12,B359,0,1,0)</f>
        <v>0.16938775601304512</v>
      </c>
      <c r="S359" s="68">
        <f t="shared" si="50"/>
        <v>0</v>
      </c>
    </row>
    <row r="360" spans="1:19" ht="15" customHeight="1">
      <c r="A360" s="63" t="s">
        <v>125</v>
      </c>
      <c r="B360" s="74">
        <v>357</v>
      </c>
      <c r="C360" s="64">
        <f t="shared" si="53"/>
        <v>0</v>
      </c>
      <c r="D360" s="64">
        <f>IF(G359=0,0,IF(G359&lt;BondCalculator!$B$12,G359+E360,BondCalculator!$B$12))</f>
        <v>0</v>
      </c>
      <c r="E360" s="64">
        <f>C360*BondCalculator!$B$5/12</f>
        <v>0</v>
      </c>
      <c r="F360" s="64">
        <f t="shared" si="45"/>
        <v>0</v>
      </c>
      <c r="G360" s="64">
        <f t="shared" si="51"/>
        <v>0</v>
      </c>
      <c r="H360" s="76">
        <f t="shared" si="52"/>
        <v>0</v>
      </c>
      <c r="J360" s="66">
        <f t="shared" si="46"/>
        <v>0</v>
      </c>
      <c r="K360" s="66">
        <f>IF(N359=0,0,IF(N359&lt;BondCalculator!$B$12+BondCalculator!$B$7,N359+L360,BondCalculator!$B$12+BondCalculator!$B$7))</f>
        <v>0</v>
      </c>
      <c r="L360" s="66">
        <f>J360*BondCalculator!$B$5/12</f>
        <v>0</v>
      </c>
      <c r="M360" s="66">
        <f t="shared" si="47"/>
        <v>0</v>
      </c>
      <c r="N360" s="66">
        <f t="shared" si="48"/>
        <v>0</v>
      </c>
      <c r="P360" s="66">
        <f t="shared" si="49"/>
        <v>0</v>
      </c>
      <c r="Q360" s="67">
        <f>-PV(BondCalculator!$B$9/12,B360,0,1,0)</f>
        <v>0.16854503085875142</v>
      </c>
      <c r="S360" s="68">
        <f t="shared" si="50"/>
        <v>0</v>
      </c>
    </row>
    <row r="361" spans="1:19" ht="15" customHeight="1">
      <c r="A361" s="63" t="s">
        <v>125</v>
      </c>
      <c r="B361" s="74">
        <v>358</v>
      </c>
      <c r="C361" s="64">
        <f t="shared" si="53"/>
        <v>0</v>
      </c>
      <c r="D361" s="64">
        <f>IF(G360=0,0,IF(G360&lt;BondCalculator!$B$12,G360+E361,BondCalculator!$B$12))</f>
        <v>0</v>
      </c>
      <c r="E361" s="64">
        <f>C361*BondCalculator!$B$5/12</f>
        <v>0</v>
      </c>
      <c r="F361" s="64">
        <f t="shared" si="45"/>
        <v>0</v>
      </c>
      <c r="G361" s="64">
        <f t="shared" si="51"/>
        <v>0</v>
      </c>
      <c r="H361" s="76">
        <f t="shared" si="52"/>
        <v>0</v>
      </c>
      <c r="J361" s="66">
        <f t="shared" si="46"/>
        <v>0</v>
      </c>
      <c r="K361" s="66">
        <f>IF(N360=0,0,IF(N360&lt;BondCalculator!$B$12+BondCalculator!$B$7,N360+L361,BondCalculator!$B$12+BondCalculator!$B$7))</f>
        <v>0</v>
      </c>
      <c r="L361" s="66">
        <f>J361*BondCalculator!$B$5/12</f>
        <v>0</v>
      </c>
      <c r="M361" s="66">
        <f t="shared" si="47"/>
        <v>0</v>
      </c>
      <c r="N361" s="66">
        <f t="shared" si="48"/>
        <v>0</v>
      </c>
      <c r="P361" s="66">
        <f t="shared" si="49"/>
        <v>0</v>
      </c>
      <c r="Q361" s="67">
        <f>-PV(BondCalculator!$B$9/12,B361,0,1,0)</f>
        <v>0.16770649836691684</v>
      </c>
      <c r="S361" s="68">
        <f t="shared" si="50"/>
        <v>0</v>
      </c>
    </row>
    <row r="362" spans="1:19" ht="15" customHeight="1">
      <c r="A362" s="63" t="s">
        <v>125</v>
      </c>
      <c r="B362" s="74">
        <v>359</v>
      </c>
      <c r="C362" s="64">
        <f t="shared" si="53"/>
        <v>0</v>
      </c>
      <c r="D362" s="64">
        <f>IF(G361=0,0,IF(G361&lt;BondCalculator!$B$12,G361+E362,BondCalculator!$B$12))</f>
        <v>0</v>
      </c>
      <c r="E362" s="64">
        <f>C362*BondCalculator!$B$5/12</f>
        <v>0</v>
      </c>
      <c r="F362" s="64">
        <f t="shared" si="45"/>
        <v>0</v>
      </c>
      <c r="G362" s="64">
        <f t="shared" si="51"/>
        <v>0</v>
      </c>
      <c r="H362" s="76">
        <f t="shared" si="52"/>
        <v>0</v>
      </c>
      <c r="J362" s="66">
        <f t="shared" si="46"/>
        <v>0</v>
      </c>
      <c r="K362" s="66">
        <f>IF(N361=0,0,IF(N361&lt;BondCalculator!$B$12+BondCalculator!$B$7,N361+L362,BondCalculator!$B$12+BondCalculator!$B$7))</f>
        <v>0</v>
      </c>
      <c r="L362" s="66">
        <f>J362*BondCalculator!$B$5/12</f>
        <v>0</v>
      </c>
      <c r="M362" s="66">
        <f t="shared" si="47"/>
        <v>0</v>
      </c>
      <c r="N362" s="66">
        <f t="shared" si="48"/>
        <v>0</v>
      </c>
      <c r="P362" s="66">
        <f t="shared" si="49"/>
        <v>0</v>
      </c>
      <c r="Q362" s="67">
        <f>-PV(BondCalculator!$B$9/12,B362,0,1,0)</f>
        <v>0.16687213767852424</v>
      </c>
      <c r="S362" s="68">
        <f t="shared" si="50"/>
        <v>0</v>
      </c>
    </row>
    <row r="363" spans="1:19" ht="15" customHeight="1">
      <c r="A363" s="63" t="s">
        <v>125</v>
      </c>
      <c r="B363" s="74">
        <v>360</v>
      </c>
      <c r="C363" s="64">
        <f t="shared" si="53"/>
        <v>0</v>
      </c>
      <c r="D363" s="64">
        <f>IF(G362=0,0,IF(G362&lt;BondCalculator!$B$12,G362+E363,BondCalculator!$B$12))</f>
        <v>0</v>
      </c>
      <c r="E363" s="64">
        <f>C363*BondCalculator!$B$5/12</f>
        <v>0</v>
      </c>
      <c r="F363" s="64">
        <f t="shared" si="45"/>
        <v>0</v>
      </c>
      <c r="G363" s="64">
        <f t="shared" si="51"/>
        <v>0</v>
      </c>
      <c r="H363" s="76">
        <f t="shared" si="52"/>
        <v>0</v>
      </c>
      <c r="J363" s="66">
        <f t="shared" si="46"/>
        <v>0</v>
      </c>
      <c r="K363" s="66">
        <f>IF(N362=0,0,IF(N362&lt;BondCalculator!$B$12+BondCalculator!$B$7,N362+L363,BondCalculator!$B$12+BondCalculator!$B$7))</f>
        <v>0</v>
      </c>
      <c r="L363" s="66">
        <f>J363*BondCalculator!$B$5/12</f>
        <v>0</v>
      </c>
      <c r="M363" s="66">
        <f t="shared" si="47"/>
        <v>0</v>
      </c>
      <c r="N363" s="66">
        <f t="shared" si="48"/>
        <v>0</v>
      </c>
      <c r="P363" s="66">
        <f t="shared" si="49"/>
        <v>0</v>
      </c>
      <c r="Q363" s="67">
        <f>-PV(BondCalculator!$B$9/12,B363,0,1,0)</f>
        <v>0.1660419280383326</v>
      </c>
      <c r="S363" s="68">
        <f t="shared" si="50"/>
        <v>0</v>
      </c>
    </row>
    <row r="364" spans="4:19" ht="15" customHeight="1">
      <c r="D364" s="64">
        <f>SUM(D4:D363)</f>
        <v>4742255.909506056</v>
      </c>
      <c r="E364" s="64">
        <f>SUM(E4:E363)</f>
        <v>2242255.9095060546</v>
      </c>
      <c r="K364" s="77">
        <f>SUM(K4:K363)</f>
        <v>4279445.704144101</v>
      </c>
      <c r="L364" s="77">
        <f>SUM(L4:L363)</f>
        <v>1779445.7041441083</v>
      </c>
      <c r="M364" s="77">
        <f>SUM(M4:M363)</f>
        <v>2499999.9999999986</v>
      </c>
      <c r="P364" s="66">
        <f>SUM(P4:P363)</f>
        <v>462810.20536194765</v>
      </c>
      <c r="S364" s="68">
        <f>SUM(S4:S363)</f>
        <v>220327.35686264653</v>
      </c>
    </row>
  </sheetData>
  <sheetProtection/>
  <printOptions/>
  <pageMargins left="0.75" right="0.75" top="1" bottom="1" header="0.5" footer="0.5"/>
  <pageSetup fitToHeight="6" fitToWidth="1" horizontalDpi="600" verticalDpi="600" orientation="portrait" paperSize="9" scale="73"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Property Reality | Bond Calculator</dc:title>
  <dc:subject>Unique Excel Based Bond Calculator Template</dc:subject>
  <dc:creator>Property Reality</dc:creator>
  <cp:keywords>bond calculator, excel, home loan, mortgage, south africa</cp:keywords>
  <dc:description/>
  <cp:lastModifiedBy>Wilhelm van Noordwyk</cp:lastModifiedBy>
  <cp:lastPrinted>2017-02-22T15:16:56Z</cp:lastPrinted>
  <dcterms:created xsi:type="dcterms:W3CDTF">2009-04-24T13:49:41Z</dcterms:created>
  <dcterms:modified xsi:type="dcterms:W3CDTF">2020-07-08T11:57:21Z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